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lx_mdp\cwd\in\"/>
    </mc:Choice>
  </mc:AlternateContent>
  <xr:revisionPtr revIDLastSave="0" documentId="13_ncr:1_{4D5274CE-2C7B-4AF5-A766-4EB1F90271C4}" xr6:coauthVersionLast="47" xr6:coauthVersionMax="47" xr10:uidLastSave="{00000000-0000-0000-0000-000000000000}"/>
  <bookViews>
    <workbookView xWindow="-120" yWindow="-120" windowWidth="24240" windowHeight="13740" tabRatio="732" activeTab="3" xr2:uid="{00000000-000D-0000-FFFF-FFFF00000000}"/>
  </bookViews>
  <sheets>
    <sheet name="vmr" sheetId="56" r:id="rId1"/>
    <sheet name="BD" sheetId="1" r:id="rId2"/>
    <sheet name="BD_temp" sheetId="55" r:id="rId3"/>
    <sheet name="datapipeline" sheetId="57" r:id="rId4"/>
    <sheet name="Prod. et Profil" sheetId="36" r:id="rId5"/>
  </sheets>
  <definedNames>
    <definedName name="_xlnm._FilterDatabase" localSheetId="1" hidden="1">BD!$B$2:$AB$111</definedName>
    <definedName name="_xlnm._FilterDatabase" localSheetId="2" hidden="1">BD_temp!$A$1:$AC$127</definedName>
    <definedName name="_xlnm._FilterDatabase" localSheetId="4" hidden="1">'Prod. et Profil'!$B$1:$AQ$112</definedName>
    <definedName name="_xlnm._FilterDatabase" localSheetId="0" hidden="1">vmr!$A$1:$AD$128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56" l="1"/>
  <c r="J64" i="56"/>
  <c r="J5" i="56"/>
  <c r="J2" i="56"/>
  <c r="J3" i="56"/>
  <c r="J4" i="56"/>
  <c r="J6" i="56"/>
  <c r="J10" i="56"/>
  <c r="J11" i="56"/>
  <c r="J75" i="56"/>
  <c r="J13" i="56"/>
  <c r="J14" i="56"/>
  <c r="J49" i="56"/>
  <c r="J16" i="56"/>
  <c r="J41" i="56"/>
  <c r="J57" i="56"/>
  <c r="J31" i="56"/>
  <c r="J82" i="56"/>
  <c r="J12" i="56"/>
  <c r="J54" i="56"/>
  <c r="J56" i="56"/>
  <c r="J18" i="56"/>
  <c r="J40" i="56"/>
  <c r="J94" i="56"/>
  <c r="J72" i="56"/>
  <c r="J95" i="56"/>
  <c r="J96" i="56"/>
  <c r="J66" i="56"/>
  <c r="J105" i="56"/>
  <c r="J103" i="56"/>
  <c r="J100" i="56"/>
  <c r="J25" i="56"/>
  <c r="J93" i="56"/>
  <c r="J67" i="56"/>
  <c r="J37" i="56"/>
  <c r="J79" i="56"/>
  <c r="J80" i="56"/>
  <c r="J45" i="56"/>
  <c r="J47" i="56"/>
  <c r="J28" i="56"/>
  <c r="J52" i="56"/>
  <c r="J81" i="56"/>
  <c r="J55" i="56"/>
  <c r="J22" i="56"/>
  <c r="J35" i="56"/>
  <c r="J36" i="56"/>
  <c r="J34" i="56"/>
  <c r="J27" i="56"/>
  <c r="J84" i="56"/>
  <c r="J85" i="56"/>
  <c r="J46" i="56"/>
  <c r="J107" i="56"/>
  <c r="J91" i="56"/>
  <c r="J60" i="56"/>
  <c r="J58" i="56"/>
  <c r="J59" i="56"/>
  <c r="J43" i="56"/>
  <c r="J69" i="56"/>
  <c r="J42" i="56"/>
  <c r="J89" i="56"/>
  <c r="J90" i="56"/>
  <c r="J32" i="56"/>
  <c r="J23" i="56"/>
  <c r="J24" i="56"/>
  <c r="J97" i="56"/>
  <c r="J73" i="56"/>
  <c r="J63" i="56"/>
  <c r="J109" i="56"/>
  <c r="J74" i="56"/>
  <c r="J106" i="56"/>
  <c r="J61" i="56"/>
  <c r="J62" i="56"/>
  <c r="J98" i="56"/>
  <c r="J99" i="56"/>
  <c r="J71" i="56"/>
  <c r="J7" i="56"/>
  <c r="J8" i="56"/>
  <c r="J29" i="56"/>
  <c r="J48" i="56"/>
  <c r="J65" i="56"/>
  <c r="J44" i="56"/>
  <c r="J33" i="56"/>
  <c r="J53" i="56"/>
  <c r="J87" i="56"/>
  <c r="J88" i="56"/>
  <c r="J15" i="56"/>
  <c r="J17" i="56"/>
  <c r="J51" i="56"/>
  <c r="J86" i="56"/>
  <c r="J92" i="56"/>
  <c r="J68" i="56"/>
  <c r="J20" i="56"/>
  <c r="J39" i="56"/>
  <c r="J26" i="56"/>
  <c r="J19" i="56"/>
  <c r="J38" i="56"/>
  <c r="J70" i="56"/>
  <c r="J83" i="56"/>
  <c r="J101" i="56"/>
  <c r="J102" i="56"/>
  <c r="J50" i="56"/>
  <c r="J104" i="56"/>
  <c r="J78" i="56"/>
  <c r="J77" i="56"/>
  <c r="J21" i="56"/>
  <c r="J108" i="56"/>
  <c r="J76" i="56"/>
  <c r="J127" i="57" l="1"/>
  <c r="J126" i="57"/>
  <c r="J125" i="57"/>
  <c r="J124" i="57"/>
  <c r="J123" i="57"/>
  <c r="J122" i="57"/>
  <c r="J121" i="57"/>
  <c r="J120" i="57"/>
  <c r="J119" i="57"/>
  <c r="J118" i="57"/>
  <c r="J117" i="57"/>
  <c r="J116" i="57"/>
  <c r="J115" i="57"/>
  <c r="J114" i="57"/>
  <c r="J113" i="57"/>
  <c r="J112" i="57"/>
  <c r="J111" i="57"/>
  <c r="J110" i="57"/>
  <c r="J109" i="57"/>
  <c r="J108" i="57"/>
  <c r="J107" i="57"/>
  <c r="J106" i="57"/>
  <c r="J105" i="57"/>
  <c r="J104" i="57"/>
  <c r="J103" i="57"/>
  <c r="J102" i="57"/>
  <c r="J101" i="57"/>
  <c r="J100" i="57"/>
  <c r="J99" i="57"/>
  <c r="J98" i="57"/>
  <c r="J97" i="57"/>
  <c r="J96" i="57"/>
  <c r="J95" i="57"/>
  <c r="J94" i="57"/>
  <c r="J93" i="57"/>
  <c r="J92" i="57"/>
  <c r="J91" i="57"/>
  <c r="J90" i="57"/>
  <c r="J89" i="57"/>
  <c r="J88" i="57"/>
  <c r="J87" i="57"/>
  <c r="J86" i="57"/>
  <c r="J85" i="57"/>
  <c r="J84" i="57"/>
  <c r="J83" i="57"/>
  <c r="J82" i="57"/>
  <c r="J81" i="57"/>
  <c r="J80" i="57"/>
  <c r="J79" i="57"/>
  <c r="J78" i="57"/>
  <c r="J77" i="57"/>
  <c r="J76" i="57"/>
  <c r="J75" i="57"/>
  <c r="J74" i="57"/>
  <c r="J73" i="57"/>
  <c r="J72" i="57"/>
  <c r="J71" i="57"/>
  <c r="J70" i="57"/>
  <c r="J69" i="57"/>
  <c r="J68" i="57"/>
  <c r="J67" i="57"/>
  <c r="J66" i="57"/>
  <c r="J65" i="57"/>
  <c r="J64" i="57"/>
  <c r="J63" i="57"/>
  <c r="J62" i="57"/>
  <c r="J61" i="57"/>
  <c r="J60" i="57"/>
  <c r="J59" i="57"/>
  <c r="J58" i="57"/>
  <c r="J57" i="57"/>
  <c r="J56" i="57"/>
  <c r="J55" i="57"/>
  <c r="J54" i="57"/>
  <c r="J53" i="57"/>
  <c r="J52" i="57"/>
  <c r="J51" i="57"/>
  <c r="J50" i="57"/>
  <c r="J49" i="57"/>
  <c r="J48" i="57"/>
  <c r="J47" i="57"/>
  <c r="J46" i="57"/>
  <c r="J45" i="57"/>
  <c r="J44" i="57"/>
  <c r="J43" i="57"/>
  <c r="J42" i="57"/>
  <c r="J41" i="57"/>
  <c r="J40" i="57"/>
  <c r="J39" i="57"/>
  <c r="J38" i="57"/>
  <c r="J37" i="57"/>
  <c r="J36" i="57"/>
  <c r="J35" i="57"/>
  <c r="J34" i="57"/>
  <c r="J33" i="57"/>
  <c r="J32" i="57"/>
  <c r="J31" i="57"/>
  <c r="J30" i="57"/>
  <c r="J29" i="57"/>
  <c r="J28" i="57"/>
  <c r="J27" i="57"/>
  <c r="J26" i="57"/>
  <c r="J25" i="57"/>
  <c r="J24" i="57"/>
  <c r="J23" i="57"/>
  <c r="J22" i="57"/>
  <c r="J21" i="57"/>
  <c r="J20" i="57"/>
  <c r="J19" i="57"/>
  <c r="J18" i="57"/>
  <c r="J17" i="57"/>
  <c r="J16" i="57"/>
  <c r="J15" i="57"/>
  <c r="J14" i="57"/>
  <c r="J13" i="57"/>
  <c r="J12" i="57"/>
  <c r="J11" i="57"/>
  <c r="J10" i="57"/>
  <c r="J9" i="57"/>
  <c r="J8" i="57"/>
  <c r="J7" i="57"/>
  <c r="J6" i="57"/>
  <c r="J5" i="57"/>
  <c r="J4" i="57"/>
  <c r="J3" i="57"/>
  <c r="J2" i="57"/>
  <c r="J121" i="56" l="1"/>
  <c r="J110" i="56"/>
  <c r="J111" i="56"/>
  <c r="J112" i="56"/>
  <c r="J113" i="56"/>
  <c r="J114" i="56"/>
  <c r="J115" i="56"/>
  <c r="J116" i="56"/>
  <c r="J117" i="56"/>
  <c r="J118" i="56"/>
  <c r="J119" i="56"/>
  <c r="J120" i="56"/>
  <c r="J122" i="56"/>
  <c r="J123" i="56"/>
  <c r="J124" i="56"/>
  <c r="J125" i="56"/>
  <c r="J126" i="56"/>
  <c r="J127" i="56"/>
  <c r="J128" i="56"/>
  <c r="J9" i="56"/>
  <c r="S4" i="36" l="1"/>
  <c r="T4" i="36"/>
  <c r="U4" i="36"/>
  <c r="V4" i="36"/>
  <c r="W4" i="36"/>
  <c r="X4" i="36"/>
  <c r="Y4" i="36"/>
  <c r="Z4" i="36"/>
  <c r="AA4" i="36"/>
  <c r="AB4" i="36"/>
  <c r="AC4" i="36"/>
  <c r="AD4" i="36"/>
  <c r="AE4" i="36"/>
  <c r="AF4" i="36"/>
  <c r="AG4" i="36"/>
  <c r="AH4" i="36"/>
  <c r="AI4" i="36"/>
  <c r="AJ4" i="36"/>
  <c r="AK4" i="36" s="1"/>
  <c r="AL4" i="36" s="1"/>
  <c r="AM4" i="36" s="1"/>
  <c r="AN4" i="36" s="1"/>
  <c r="AO4" i="36"/>
  <c r="AP4" i="36" s="1"/>
  <c r="AQ4" i="36" s="1"/>
  <c r="S5" i="36"/>
  <c r="AF5" i="36"/>
  <c r="AG5" i="36"/>
  <c r="AH5" i="36" s="1"/>
  <c r="AI5" i="36" s="1"/>
  <c r="AJ5" i="36"/>
  <c r="AK5" i="36" s="1"/>
  <c r="AL5" i="36" s="1"/>
  <c r="AM5" i="36" s="1"/>
  <c r="AN5" i="36" s="1"/>
  <c r="AO5" i="36" s="1"/>
  <c r="AP5" i="36" s="1"/>
  <c r="AQ5" i="36" s="1"/>
  <c r="S6" i="36"/>
  <c r="AF6" i="36"/>
  <c r="AG6" i="36"/>
  <c r="AH6" i="36" s="1"/>
  <c r="AI6" i="36" s="1"/>
  <c r="AJ6" i="36" s="1"/>
  <c r="AK6" i="36" s="1"/>
  <c r="AL6" i="36" s="1"/>
  <c r="AM6" i="36"/>
  <c r="AN6" i="36" s="1"/>
  <c r="AO6" i="36" s="1"/>
  <c r="AP6" i="36" s="1"/>
  <c r="AQ6" i="36" s="1"/>
  <c r="S7" i="36"/>
  <c r="T7" i="36"/>
  <c r="U7" i="36"/>
  <c r="V7" i="36"/>
  <c r="W7" i="36"/>
  <c r="X7" i="36"/>
  <c r="Y7" i="36"/>
  <c r="Z7" i="36"/>
  <c r="AA7" i="36"/>
  <c r="AB7" i="36"/>
  <c r="AC7" i="36"/>
  <c r="AD7" i="36"/>
  <c r="AE7" i="36"/>
  <c r="AF7" i="36"/>
  <c r="AG7" i="36" s="1"/>
  <c r="AH7" i="36" s="1"/>
  <c r="AI7" i="36" s="1"/>
  <c r="AJ7" i="36" s="1"/>
  <c r="AK7" i="36" s="1"/>
  <c r="AL7" i="36" s="1"/>
  <c r="AM7" i="36" s="1"/>
  <c r="AN7" i="36" s="1"/>
  <c r="AO7" i="36" s="1"/>
  <c r="AP7" i="36" s="1"/>
  <c r="AQ7" i="36" s="1"/>
  <c r="S8" i="36"/>
  <c r="T8" i="36"/>
  <c r="U8" i="36"/>
  <c r="V8" i="36"/>
  <c r="W8" i="36"/>
  <c r="X8" i="36"/>
  <c r="Y8" i="36"/>
  <c r="Z8" i="36"/>
  <c r="AA8" i="36"/>
  <c r="AB8" i="36"/>
  <c r="AC8" i="36"/>
  <c r="AD8" i="36"/>
  <c r="AE8" i="36"/>
  <c r="AF8" i="36"/>
  <c r="AG8" i="36"/>
  <c r="AH8" i="36"/>
  <c r="AI8" i="36" s="1"/>
  <c r="AJ8" i="36" s="1"/>
  <c r="AK8" i="36"/>
  <c r="AL8" i="36" s="1"/>
  <c r="AM8" i="36" s="1"/>
  <c r="AN8" i="36" s="1"/>
  <c r="AO8" i="36" s="1"/>
  <c r="AP8" i="36" s="1"/>
  <c r="AQ8" i="36" s="1"/>
  <c r="S9" i="36"/>
  <c r="T9" i="36"/>
  <c r="U9" i="36"/>
  <c r="V9" i="36"/>
  <c r="W9" i="36"/>
  <c r="X9" i="36"/>
  <c r="Y9" i="36"/>
  <c r="Z9" i="36"/>
  <c r="AA9" i="36"/>
  <c r="AB9" i="36"/>
  <c r="AC9" i="36"/>
  <c r="AD9" i="36"/>
  <c r="AE9" i="36"/>
  <c r="AF9" i="36"/>
  <c r="AG9" i="36"/>
  <c r="AH9" i="36" s="1"/>
  <c r="AI9" i="36" s="1"/>
  <c r="AJ9" i="36"/>
  <c r="AK9" i="36" s="1"/>
  <c r="AL9" i="36" s="1"/>
  <c r="AM9" i="36" s="1"/>
  <c r="AN9" i="36" s="1"/>
  <c r="AO9" i="36" s="1"/>
  <c r="AP9" i="36" s="1"/>
  <c r="AQ9" i="36" s="1"/>
  <c r="S10" i="36"/>
  <c r="T10" i="36"/>
  <c r="U10" i="36"/>
  <c r="V10" i="36"/>
  <c r="W10" i="36"/>
  <c r="X10" i="36"/>
  <c r="Y10" i="36"/>
  <c r="Z10" i="36"/>
  <c r="AA10" i="36"/>
  <c r="AB10" i="36"/>
  <c r="AC10" i="36"/>
  <c r="AD10" i="36"/>
  <c r="AE10" i="36"/>
  <c r="AF10" i="36"/>
  <c r="AG10" i="36" s="1"/>
  <c r="AH10" i="36" s="1"/>
  <c r="AI10" i="36" s="1"/>
  <c r="AJ10" i="36" s="1"/>
  <c r="AK10" i="36" s="1"/>
  <c r="AL10" i="36" s="1"/>
  <c r="AM10" i="36" s="1"/>
  <c r="AN10" i="36" s="1"/>
  <c r="AO10" i="36" s="1"/>
  <c r="AP10" i="36" s="1"/>
  <c r="AQ10" i="36" s="1"/>
  <c r="T11" i="36"/>
  <c r="U11" i="36"/>
  <c r="V11" i="36"/>
  <c r="W11" i="36"/>
  <c r="X11" i="36"/>
  <c r="Y11" i="36"/>
  <c r="S11" i="36" s="1"/>
  <c r="Z11" i="36"/>
  <c r="AA11" i="36"/>
  <c r="AB11" i="36"/>
  <c r="AC11" i="36"/>
  <c r="AD11" i="36"/>
  <c r="AE11" i="36"/>
  <c r="AF11" i="36"/>
  <c r="AG11" i="36"/>
  <c r="AH11" i="36"/>
  <c r="AI11" i="36" s="1"/>
  <c r="AJ11" i="36" s="1"/>
  <c r="AK11" i="36" s="1"/>
  <c r="AL11" i="36" s="1"/>
  <c r="AM11" i="36" s="1"/>
  <c r="AN11" i="36" s="1"/>
  <c r="AO11" i="36" s="1"/>
  <c r="AP11" i="36"/>
  <c r="AQ11" i="36" s="1"/>
  <c r="T12" i="36"/>
  <c r="U12" i="36"/>
  <c r="V12" i="36"/>
  <c r="W12" i="36"/>
  <c r="X12" i="36"/>
  <c r="S12" i="36" s="1"/>
  <c r="Y12" i="36"/>
  <c r="Z12" i="36"/>
  <c r="AA12" i="36"/>
  <c r="AB12" i="36"/>
  <c r="AC12" i="36"/>
  <c r="AD12" i="36"/>
  <c r="AE12" i="36"/>
  <c r="AF12" i="36"/>
  <c r="AG12" i="36"/>
  <c r="AH12" i="36" s="1"/>
  <c r="AI12" i="36" s="1"/>
  <c r="AJ12" i="36" s="1"/>
  <c r="AK12" i="36" s="1"/>
  <c r="AL12" i="36" s="1"/>
  <c r="AM12" i="36" s="1"/>
  <c r="AN12" i="36" s="1"/>
  <c r="AO12" i="36" s="1"/>
  <c r="AP12" i="36" s="1"/>
  <c r="AQ12" i="36" s="1"/>
  <c r="T13" i="36"/>
  <c r="U13" i="36"/>
  <c r="V13" i="36"/>
  <c r="W13" i="36"/>
  <c r="S13" i="36" s="1"/>
  <c r="X13" i="36"/>
  <c r="Y13" i="36"/>
  <c r="Z13" i="36"/>
  <c r="AA13" i="36"/>
  <c r="AB13" i="36"/>
  <c r="AC13" i="36"/>
  <c r="AD13" i="36"/>
  <c r="AE13" i="36"/>
  <c r="AF13" i="36"/>
  <c r="AG13" i="36" s="1"/>
  <c r="AH13" i="36" s="1"/>
  <c r="AI13" i="36" s="1"/>
  <c r="AJ13" i="36" s="1"/>
  <c r="AK13" i="36" s="1"/>
  <c r="AL13" i="36" s="1"/>
  <c r="AM13" i="36" s="1"/>
  <c r="AN13" i="36" s="1"/>
  <c r="AO13" i="36" s="1"/>
  <c r="AP13" i="36" s="1"/>
  <c r="AQ13" i="36" s="1"/>
  <c r="T14" i="36"/>
  <c r="U14" i="36"/>
  <c r="V14" i="36"/>
  <c r="S14" i="36" s="1"/>
  <c r="W14" i="36"/>
  <c r="X14" i="36"/>
  <c r="Y14" i="36"/>
  <c r="Z14" i="36"/>
  <c r="AA14" i="36"/>
  <c r="AB14" i="36"/>
  <c r="AC14" i="36"/>
  <c r="AD14" i="36"/>
  <c r="AE14" i="36"/>
  <c r="AF14" i="36"/>
  <c r="AG14" i="36"/>
  <c r="AH14" i="36" s="1"/>
  <c r="AI14" i="36" s="1"/>
  <c r="AJ14" i="36" s="1"/>
  <c r="AK14" i="36" s="1"/>
  <c r="AL14" i="36" s="1"/>
  <c r="AM14" i="36"/>
  <c r="AN14" i="36" s="1"/>
  <c r="AO14" i="36" s="1"/>
  <c r="AP14" i="36" s="1"/>
  <c r="AQ14" i="36" s="1"/>
  <c r="T15" i="36"/>
  <c r="U15" i="36"/>
  <c r="S15" i="36" s="1"/>
  <c r="V15" i="36"/>
  <c r="W15" i="36"/>
  <c r="X15" i="36"/>
  <c r="Y15" i="36"/>
  <c r="Z15" i="36"/>
  <c r="AA15" i="36"/>
  <c r="AB15" i="36"/>
  <c r="AC15" i="36"/>
  <c r="AD15" i="36"/>
  <c r="AE15" i="36"/>
  <c r="AF15" i="36"/>
  <c r="AG15" i="36" s="1"/>
  <c r="AH15" i="36" s="1"/>
  <c r="AI15" i="36" s="1"/>
  <c r="AJ15" i="36" s="1"/>
  <c r="AK15" i="36" s="1"/>
  <c r="AL15" i="36" s="1"/>
  <c r="AM15" i="36" s="1"/>
  <c r="AN15" i="36" s="1"/>
  <c r="AO15" i="36" s="1"/>
  <c r="AP15" i="36" s="1"/>
  <c r="AQ15" i="36" s="1"/>
  <c r="T16" i="36"/>
  <c r="AF16" i="36" s="1"/>
  <c r="AG16" i="36" s="1"/>
  <c r="AH16" i="36" s="1"/>
  <c r="AI16" i="36" s="1"/>
  <c r="AJ16" i="36" s="1"/>
  <c r="AK16" i="36" s="1"/>
  <c r="AL16" i="36" s="1"/>
  <c r="AM16" i="36" s="1"/>
  <c r="AN16" i="36" s="1"/>
  <c r="AO16" i="36" s="1"/>
  <c r="AP16" i="36" s="1"/>
  <c r="AQ16" i="36" s="1"/>
  <c r="U16" i="36"/>
  <c r="V16" i="36"/>
  <c r="W16" i="36"/>
  <c r="X16" i="36"/>
  <c r="Y16" i="36"/>
  <c r="Z16" i="36"/>
  <c r="AA16" i="36"/>
  <c r="AB16" i="36"/>
  <c r="AC16" i="36"/>
  <c r="AD16" i="36"/>
  <c r="AE16" i="36"/>
  <c r="T17" i="36"/>
  <c r="U17" i="36"/>
  <c r="V17" i="36"/>
  <c r="W17" i="36"/>
  <c r="X17" i="36"/>
  <c r="Y17" i="36"/>
  <c r="Z17" i="36"/>
  <c r="AA17" i="36"/>
  <c r="S17" i="36" s="1"/>
  <c r="AB17" i="36"/>
  <c r="AC17" i="36"/>
  <c r="AD17" i="36"/>
  <c r="AE17" i="36"/>
  <c r="AF17" i="36"/>
  <c r="AG17" i="36"/>
  <c r="AH17" i="36" s="1"/>
  <c r="AI17" i="36" s="1"/>
  <c r="AJ17" i="36"/>
  <c r="AK17" i="36" s="1"/>
  <c r="AL17" i="36" s="1"/>
  <c r="AM17" i="36" s="1"/>
  <c r="AN17" i="36" s="1"/>
  <c r="AO17" i="36" s="1"/>
  <c r="AP17" i="36" s="1"/>
  <c r="AQ17" i="36" s="1"/>
  <c r="S18" i="36"/>
  <c r="T18" i="36"/>
  <c r="U18" i="36"/>
  <c r="V18" i="36"/>
  <c r="W18" i="36"/>
  <c r="X18" i="36"/>
  <c r="Y18" i="36"/>
  <c r="Z18" i="36"/>
  <c r="AA18" i="36"/>
  <c r="AB18" i="36"/>
  <c r="AC18" i="36"/>
  <c r="AD18" i="36"/>
  <c r="AE18" i="36"/>
  <c r="AF18" i="36"/>
  <c r="AG18" i="36" s="1"/>
  <c r="AH18" i="36" s="1"/>
  <c r="AI18" i="36" s="1"/>
  <c r="AJ18" i="36" s="1"/>
  <c r="AK18" i="36" s="1"/>
  <c r="AL18" i="36" s="1"/>
  <c r="AM18" i="36" s="1"/>
  <c r="AN18" i="36" s="1"/>
  <c r="AO18" i="36" s="1"/>
  <c r="AP18" i="36" s="1"/>
  <c r="AQ18" i="36" s="1"/>
  <c r="T19" i="36"/>
  <c r="U19" i="36"/>
  <c r="V19" i="36"/>
  <c r="W19" i="36"/>
  <c r="X19" i="36"/>
  <c r="Y19" i="36"/>
  <c r="S19" i="36" s="1"/>
  <c r="Z19" i="36"/>
  <c r="AA19" i="36"/>
  <c r="AB19" i="36"/>
  <c r="AC19" i="36"/>
  <c r="AD19" i="36"/>
  <c r="AE19" i="36"/>
  <c r="AF19" i="36"/>
  <c r="AG19" i="36"/>
  <c r="AH19" i="36"/>
  <c r="AI19" i="36" s="1"/>
  <c r="AJ19" i="36" s="1"/>
  <c r="AK19" i="36" s="1"/>
  <c r="AL19" i="36" s="1"/>
  <c r="AM19" i="36" s="1"/>
  <c r="AN19" i="36" s="1"/>
  <c r="AO19" i="36" s="1"/>
  <c r="AP19" i="36"/>
  <c r="AQ19" i="36" s="1"/>
  <c r="T20" i="36"/>
  <c r="U20" i="36"/>
  <c r="V20" i="36"/>
  <c r="W20" i="36"/>
  <c r="S20" i="36" s="1"/>
  <c r="X20" i="36"/>
  <c r="Y20" i="36"/>
  <c r="Z20" i="36"/>
  <c r="AA20" i="36"/>
  <c r="AB20" i="36"/>
  <c r="AC20" i="36"/>
  <c r="AD20" i="36"/>
  <c r="AE20" i="36"/>
  <c r="AF20" i="36"/>
  <c r="AG20" i="36"/>
  <c r="AH20" i="36" s="1"/>
  <c r="AI20" i="36" s="1"/>
  <c r="AJ20" i="36" s="1"/>
  <c r="AK20" i="36" s="1"/>
  <c r="AL20" i="36" s="1"/>
  <c r="AM20" i="36" s="1"/>
  <c r="AN20" i="36" s="1"/>
  <c r="AO20" i="36" s="1"/>
  <c r="AP20" i="36" s="1"/>
  <c r="AQ20" i="36" s="1"/>
  <c r="T21" i="36"/>
  <c r="U21" i="36"/>
  <c r="V21" i="36"/>
  <c r="S21" i="36" s="1"/>
  <c r="W21" i="36"/>
  <c r="X21" i="36"/>
  <c r="Y21" i="36"/>
  <c r="Z21" i="36"/>
  <c r="AA21" i="36"/>
  <c r="AB21" i="36"/>
  <c r="AC21" i="36"/>
  <c r="AD21" i="36"/>
  <c r="AE21" i="36"/>
  <c r="AF21" i="36"/>
  <c r="AG21" i="36" s="1"/>
  <c r="AH21" i="36" s="1"/>
  <c r="AI21" i="36" s="1"/>
  <c r="AJ21" i="36" s="1"/>
  <c r="AK21" i="36" s="1"/>
  <c r="AL21" i="36" s="1"/>
  <c r="AM21" i="36" s="1"/>
  <c r="AN21" i="36"/>
  <c r="AO21" i="36" s="1"/>
  <c r="AP21" i="36" s="1"/>
  <c r="AQ21" i="36" s="1"/>
  <c r="T22" i="36"/>
  <c r="U22" i="36"/>
  <c r="AG22" i="36" s="1"/>
  <c r="AH22" i="36" s="1"/>
  <c r="AI22" i="36" s="1"/>
  <c r="AJ22" i="36" s="1"/>
  <c r="AK22" i="36" s="1"/>
  <c r="AL22" i="36" s="1"/>
  <c r="V22" i="36"/>
  <c r="W22" i="36"/>
  <c r="X22" i="36"/>
  <c r="Y22" i="36"/>
  <c r="Z22" i="36"/>
  <c r="AA22" i="36"/>
  <c r="AB22" i="36"/>
  <c r="AC22" i="36"/>
  <c r="AD22" i="36"/>
  <c r="AE22" i="36"/>
  <c r="AF22" i="36"/>
  <c r="AM22" i="36"/>
  <c r="AN22" i="36" s="1"/>
  <c r="AO22" i="36" s="1"/>
  <c r="AP22" i="36" s="1"/>
  <c r="AQ22" i="36" s="1"/>
  <c r="T23" i="36"/>
  <c r="AF23" i="36" s="1"/>
  <c r="AG23" i="36" s="1"/>
  <c r="AH23" i="36" s="1"/>
  <c r="AI23" i="36" s="1"/>
  <c r="AJ23" i="36" s="1"/>
  <c r="AK23" i="36" s="1"/>
  <c r="U23" i="36"/>
  <c r="S23" i="36" s="1"/>
  <c r="V23" i="36"/>
  <c r="W23" i="36"/>
  <c r="X23" i="36"/>
  <c r="Y23" i="36"/>
  <c r="Z23" i="36"/>
  <c r="AA23" i="36"/>
  <c r="AB23" i="36"/>
  <c r="AC23" i="36"/>
  <c r="AD23" i="36"/>
  <c r="AE23" i="36"/>
  <c r="AL23" i="36"/>
  <c r="AM23" i="36" s="1"/>
  <c r="AN23" i="36" s="1"/>
  <c r="AO23" i="36" s="1"/>
  <c r="AP23" i="36" s="1"/>
  <c r="AQ23" i="36" s="1"/>
  <c r="T24" i="36"/>
  <c r="AF24" i="36" s="1"/>
  <c r="AG24" i="36" s="1"/>
  <c r="AH24" i="36" s="1"/>
  <c r="AI24" i="36" s="1"/>
  <c r="AJ24" i="36" s="1"/>
  <c r="U24" i="36"/>
  <c r="V24" i="36"/>
  <c r="W24" i="36"/>
  <c r="X24" i="36"/>
  <c r="Y24" i="36"/>
  <c r="Z24" i="36"/>
  <c r="AA24" i="36"/>
  <c r="AB24" i="36"/>
  <c r="AC24" i="36"/>
  <c r="AD24" i="36"/>
  <c r="AE24" i="36"/>
  <c r="AK24" i="36"/>
  <c r="AL24" i="36" s="1"/>
  <c r="AM24" i="36" s="1"/>
  <c r="AN24" i="36" s="1"/>
  <c r="AO24" i="36" s="1"/>
  <c r="AP24" i="36" s="1"/>
  <c r="AQ24" i="36" s="1"/>
  <c r="T25" i="36"/>
  <c r="U25" i="36"/>
  <c r="V25" i="36"/>
  <c r="W25" i="36"/>
  <c r="X25" i="36"/>
  <c r="Y25" i="36"/>
  <c r="Z25" i="36"/>
  <c r="AA25" i="36"/>
  <c r="S25" i="36" s="1"/>
  <c r="AB25" i="36"/>
  <c r="AC25" i="36"/>
  <c r="AD25" i="36"/>
  <c r="AE25" i="36"/>
  <c r="AF25" i="36"/>
  <c r="AG25" i="36"/>
  <c r="AH25" i="36"/>
  <c r="AI25" i="36"/>
  <c r="AJ25" i="36"/>
  <c r="AK25" i="36" s="1"/>
  <c r="AL25" i="36" s="1"/>
  <c r="AM25" i="36" s="1"/>
  <c r="AN25" i="36" s="1"/>
  <c r="AO25" i="36" s="1"/>
  <c r="AP25" i="36" s="1"/>
  <c r="AQ25" i="36" s="1"/>
  <c r="S26" i="36"/>
  <c r="T26" i="36"/>
  <c r="U26" i="36"/>
  <c r="V26" i="36"/>
  <c r="W26" i="36"/>
  <c r="X26" i="36"/>
  <c r="Y26" i="36"/>
  <c r="Z26" i="36"/>
  <c r="AA26" i="36"/>
  <c r="AB26" i="36"/>
  <c r="AC26" i="36"/>
  <c r="AD26" i="36"/>
  <c r="AE26" i="36"/>
  <c r="AF26" i="36"/>
  <c r="AG26" i="36"/>
  <c r="AH26" i="36"/>
  <c r="AI26" i="36"/>
  <c r="AJ26" i="36" s="1"/>
  <c r="AK26" i="36" s="1"/>
  <c r="AL26" i="36" s="1"/>
  <c r="AM26" i="36" s="1"/>
  <c r="AN26" i="36" s="1"/>
  <c r="AO26" i="36" s="1"/>
  <c r="AP26" i="36" s="1"/>
  <c r="AQ26" i="36"/>
  <c r="T27" i="36"/>
  <c r="U27" i="36"/>
  <c r="V27" i="36"/>
  <c r="W27" i="36"/>
  <c r="X27" i="36"/>
  <c r="S27" i="36" s="1"/>
  <c r="Y27" i="36"/>
  <c r="Z27" i="36"/>
  <c r="AA27" i="36"/>
  <c r="AB27" i="36"/>
  <c r="AC27" i="36"/>
  <c r="AD27" i="36"/>
  <c r="AE27" i="36"/>
  <c r="AF27" i="36"/>
  <c r="AG27" i="36"/>
  <c r="AH27" i="36"/>
  <c r="AI27" i="36" s="1"/>
  <c r="AJ27" i="36" s="1"/>
  <c r="AK27" i="36" s="1"/>
  <c r="AL27" i="36" s="1"/>
  <c r="AM27" i="36" s="1"/>
  <c r="AN27" i="36" s="1"/>
  <c r="AO27" i="36" s="1"/>
  <c r="AP27" i="36"/>
  <c r="AQ27" i="36" s="1"/>
  <c r="T28" i="36"/>
  <c r="U28" i="36"/>
  <c r="V28" i="36"/>
  <c r="W28" i="36"/>
  <c r="S28" i="36" s="1"/>
  <c r="X28" i="36"/>
  <c r="Y28" i="36"/>
  <c r="Z28" i="36"/>
  <c r="AA28" i="36"/>
  <c r="AB28" i="36"/>
  <c r="AC28" i="36"/>
  <c r="AD28" i="36"/>
  <c r="AE28" i="36"/>
  <c r="AF28" i="36"/>
  <c r="AG28" i="36"/>
  <c r="AH28" i="36" s="1"/>
  <c r="AI28" i="36" s="1"/>
  <c r="AJ28" i="36" s="1"/>
  <c r="AK28" i="36" s="1"/>
  <c r="AL28" i="36" s="1"/>
  <c r="AM28" i="36" s="1"/>
  <c r="AN28" i="36" s="1"/>
  <c r="AO28" i="36" s="1"/>
  <c r="AP28" i="36" s="1"/>
  <c r="AQ28" i="36" s="1"/>
  <c r="T29" i="36"/>
  <c r="U29" i="36"/>
  <c r="V29" i="36"/>
  <c r="S29" i="36" s="1"/>
  <c r="W29" i="36"/>
  <c r="X29" i="36"/>
  <c r="Y29" i="36"/>
  <c r="Z29" i="36"/>
  <c r="AA29" i="36"/>
  <c r="AB29" i="36"/>
  <c r="AC29" i="36"/>
  <c r="AD29" i="36"/>
  <c r="AE29" i="36"/>
  <c r="AF29" i="36"/>
  <c r="AG29" i="36" s="1"/>
  <c r="AH29" i="36" s="1"/>
  <c r="AI29" i="36" s="1"/>
  <c r="AJ29" i="36" s="1"/>
  <c r="AK29" i="36" s="1"/>
  <c r="AL29" i="36" s="1"/>
  <c r="AM29" i="36" s="1"/>
  <c r="AN29" i="36"/>
  <c r="AO29" i="36" s="1"/>
  <c r="AP29" i="36" s="1"/>
  <c r="AQ29" i="36" s="1"/>
  <c r="T30" i="36"/>
  <c r="U30" i="36"/>
  <c r="AG30" i="36" s="1"/>
  <c r="AH30" i="36" s="1"/>
  <c r="AI30" i="36" s="1"/>
  <c r="AJ30" i="36" s="1"/>
  <c r="AK30" i="36" s="1"/>
  <c r="AL30" i="36" s="1"/>
  <c r="AM30" i="36" s="1"/>
  <c r="AN30" i="36" s="1"/>
  <c r="AO30" i="36" s="1"/>
  <c r="AP30" i="36" s="1"/>
  <c r="AQ30" i="36" s="1"/>
  <c r="V30" i="36"/>
  <c r="W30" i="36"/>
  <c r="X30" i="36"/>
  <c r="Y30" i="36"/>
  <c r="Z30" i="36"/>
  <c r="AA30" i="36"/>
  <c r="AB30" i="36"/>
  <c r="AC30" i="36"/>
  <c r="AD30" i="36"/>
  <c r="AE30" i="36"/>
  <c r="AF30" i="36"/>
  <c r="T31" i="36"/>
  <c r="AF31" i="36" s="1"/>
  <c r="AG31" i="36" s="1"/>
  <c r="AH31" i="36" s="1"/>
  <c r="AI31" i="36" s="1"/>
  <c r="AJ31" i="36" s="1"/>
  <c r="AK31" i="36" s="1"/>
  <c r="U31" i="36"/>
  <c r="V31" i="36"/>
  <c r="W31" i="36"/>
  <c r="X31" i="36"/>
  <c r="Y31" i="36"/>
  <c r="Z31" i="36"/>
  <c r="AA31" i="36"/>
  <c r="AB31" i="36"/>
  <c r="AC31" i="36"/>
  <c r="AD31" i="36"/>
  <c r="AE31" i="36"/>
  <c r="AL31" i="36"/>
  <c r="AM31" i="36" s="1"/>
  <c r="AN31" i="36" s="1"/>
  <c r="AO31" i="36" s="1"/>
  <c r="AP31" i="36" s="1"/>
  <c r="AQ31" i="36" s="1"/>
  <c r="T32" i="36"/>
  <c r="AF32" i="36" s="1"/>
  <c r="AG32" i="36" s="1"/>
  <c r="AH32" i="36" s="1"/>
  <c r="AI32" i="36" s="1"/>
  <c r="AJ32" i="36" s="1"/>
  <c r="U32" i="36"/>
  <c r="V32" i="36"/>
  <c r="W32" i="36"/>
  <c r="X32" i="36"/>
  <c r="Y32" i="36"/>
  <c r="Z32" i="36"/>
  <c r="AA32" i="36"/>
  <c r="AB32" i="36"/>
  <c r="AC32" i="36"/>
  <c r="AD32" i="36"/>
  <c r="AE32" i="36"/>
  <c r="AK32" i="36"/>
  <c r="AL32" i="36" s="1"/>
  <c r="AM32" i="36" s="1"/>
  <c r="AN32" i="36" s="1"/>
  <c r="AO32" i="36" s="1"/>
  <c r="AP32" i="36" s="1"/>
  <c r="AQ32" i="36" s="1"/>
  <c r="T33" i="36"/>
  <c r="U33" i="36"/>
  <c r="V33" i="36"/>
  <c r="W33" i="36"/>
  <c r="X33" i="36"/>
  <c r="Y33" i="36"/>
  <c r="Z33" i="36"/>
  <c r="AA33" i="36"/>
  <c r="S33" i="36" s="1"/>
  <c r="AB33" i="36"/>
  <c r="AC33" i="36"/>
  <c r="AD33" i="36"/>
  <c r="AE33" i="36"/>
  <c r="AF33" i="36"/>
  <c r="AG33" i="36"/>
  <c r="AH33" i="36"/>
  <c r="AI33" i="36"/>
  <c r="AJ33" i="36"/>
  <c r="AK33" i="36" s="1"/>
  <c r="AL33" i="36" s="1"/>
  <c r="AM33" i="36" s="1"/>
  <c r="AN33" i="36" s="1"/>
  <c r="AO33" i="36" s="1"/>
  <c r="AP33" i="36" s="1"/>
  <c r="AQ33" i="36" s="1"/>
  <c r="S34" i="36"/>
  <c r="T34" i="36"/>
  <c r="U34" i="36"/>
  <c r="V34" i="36"/>
  <c r="W34" i="36"/>
  <c r="X34" i="36"/>
  <c r="Y34" i="36"/>
  <c r="Z34" i="36"/>
  <c r="AA34" i="36"/>
  <c r="AB34" i="36"/>
  <c r="AC34" i="36"/>
  <c r="AD34" i="36"/>
  <c r="AE34" i="36"/>
  <c r="AF34" i="36"/>
  <c r="AG34" i="36"/>
  <c r="AH34" i="36"/>
  <c r="AI34" i="36"/>
  <c r="AJ34" i="36" s="1"/>
  <c r="AK34" i="36" s="1"/>
  <c r="AL34" i="36" s="1"/>
  <c r="AM34" i="36" s="1"/>
  <c r="AN34" i="36" s="1"/>
  <c r="AO34" i="36" s="1"/>
  <c r="AP34" i="36" s="1"/>
  <c r="AQ34" i="36"/>
  <c r="T35" i="36"/>
  <c r="U35" i="36"/>
  <c r="V35" i="36"/>
  <c r="W35" i="36"/>
  <c r="S35" i="36" s="1"/>
  <c r="X35" i="36"/>
  <c r="Y35" i="36"/>
  <c r="Z35" i="36"/>
  <c r="AA35" i="36"/>
  <c r="AB35" i="36"/>
  <c r="AC35" i="36"/>
  <c r="AD35" i="36"/>
  <c r="AE35" i="36"/>
  <c r="AF35" i="36"/>
  <c r="AG35" i="36"/>
  <c r="AH35" i="36"/>
  <c r="AI35" i="36" s="1"/>
  <c r="AJ35" i="36" s="1"/>
  <c r="AK35" i="36" s="1"/>
  <c r="AL35" i="36" s="1"/>
  <c r="AM35" i="36" s="1"/>
  <c r="AN35" i="36" s="1"/>
  <c r="AO35" i="36" s="1"/>
  <c r="AP35" i="36"/>
  <c r="AQ35" i="36" s="1"/>
  <c r="T36" i="36"/>
  <c r="U36" i="36"/>
  <c r="V36" i="36"/>
  <c r="S36" i="36" s="1"/>
  <c r="W36" i="36"/>
  <c r="X36" i="36"/>
  <c r="Y36" i="36"/>
  <c r="Z36" i="36"/>
  <c r="AA36" i="36"/>
  <c r="AB36" i="36"/>
  <c r="AC36" i="36"/>
  <c r="AD36" i="36"/>
  <c r="AE36" i="36"/>
  <c r="AF36" i="36"/>
  <c r="AG36" i="36"/>
  <c r="AH36" i="36" s="1"/>
  <c r="AI36" i="36" s="1"/>
  <c r="AJ36" i="36" s="1"/>
  <c r="AK36" i="36" s="1"/>
  <c r="AL36" i="36" s="1"/>
  <c r="AM36" i="36" s="1"/>
  <c r="AN36" i="36" s="1"/>
  <c r="AO36" i="36" s="1"/>
  <c r="AP36" i="36" s="1"/>
  <c r="AQ36" i="36" s="1"/>
  <c r="T37" i="36"/>
  <c r="U37" i="36"/>
  <c r="S37" i="36" s="1"/>
  <c r="V37" i="36"/>
  <c r="W37" i="36"/>
  <c r="X37" i="36"/>
  <c r="Y37" i="36"/>
  <c r="Z37" i="36"/>
  <c r="AA37" i="36"/>
  <c r="AB37" i="36"/>
  <c r="AC37" i="36"/>
  <c r="AD37" i="36"/>
  <c r="AE37" i="36"/>
  <c r="AF37" i="36"/>
  <c r="AG37" i="36" s="1"/>
  <c r="AH37" i="36" s="1"/>
  <c r="AI37" i="36" s="1"/>
  <c r="AJ37" i="36" s="1"/>
  <c r="AK37" i="36" s="1"/>
  <c r="AL37" i="36" s="1"/>
  <c r="AM37" i="36" s="1"/>
  <c r="AN37" i="36"/>
  <c r="AO37" i="36" s="1"/>
  <c r="AP37" i="36" s="1"/>
  <c r="AQ37" i="36" s="1"/>
  <c r="T38" i="36"/>
  <c r="S38" i="36" s="1"/>
  <c r="U38" i="36"/>
  <c r="V38" i="36"/>
  <c r="W38" i="36"/>
  <c r="X38" i="36"/>
  <c r="Y38" i="36"/>
  <c r="Z38" i="36"/>
  <c r="AA38" i="36"/>
  <c r="AB38" i="36"/>
  <c r="AC38" i="36"/>
  <c r="AD38" i="36"/>
  <c r="AE38" i="36"/>
  <c r="T39" i="36"/>
  <c r="AF39" i="36" s="1"/>
  <c r="AG39" i="36" s="1"/>
  <c r="AH39" i="36" s="1"/>
  <c r="AI39" i="36" s="1"/>
  <c r="AJ39" i="36" s="1"/>
  <c r="U39" i="36"/>
  <c r="V39" i="36"/>
  <c r="W39" i="36"/>
  <c r="X39" i="36"/>
  <c r="Y39" i="36"/>
  <c r="Z39" i="36"/>
  <c r="AA39" i="36"/>
  <c r="AB39" i="36"/>
  <c r="AC39" i="36"/>
  <c r="AD39" i="36"/>
  <c r="AE39" i="36"/>
  <c r="AK39" i="36"/>
  <c r="AL39" i="36"/>
  <c r="AM39" i="36" s="1"/>
  <c r="AN39" i="36" s="1"/>
  <c r="AO39" i="36" s="1"/>
  <c r="AP39" i="36" s="1"/>
  <c r="AQ39" i="36" s="1"/>
  <c r="T40" i="36"/>
  <c r="U40" i="36"/>
  <c r="V40" i="36"/>
  <c r="W40" i="36"/>
  <c r="X40" i="36"/>
  <c r="Y40" i="36"/>
  <c r="Z40" i="36"/>
  <c r="AA40" i="36"/>
  <c r="AB40" i="36"/>
  <c r="AC40" i="36"/>
  <c r="AD40" i="36"/>
  <c r="AE40" i="36"/>
  <c r="T41" i="36"/>
  <c r="U41" i="36"/>
  <c r="V41" i="36"/>
  <c r="W41" i="36"/>
  <c r="X41" i="36"/>
  <c r="Y41" i="36"/>
  <c r="Z41" i="36"/>
  <c r="AA41" i="36"/>
  <c r="S41" i="36" s="1"/>
  <c r="AB41" i="36"/>
  <c r="AC41" i="36"/>
  <c r="AD41" i="36"/>
  <c r="AE41" i="36"/>
  <c r="AF41" i="36"/>
  <c r="AG41" i="36"/>
  <c r="AH41" i="36"/>
  <c r="AI41" i="36"/>
  <c r="AJ41" i="36"/>
  <c r="AK41" i="36" s="1"/>
  <c r="AL41" i="36" s="1"/>
  <c r="AM41" i="36" s="1"/>
  <c r="AN41" i="36" s="1"/>
  <c r="AO41" i="36" s="1"/>
  <c r="AP41" i="36" s="1"/>
  <c r="AQ41" i="36" s="1"/>
  <c r="T42" i="36"/>
  <c r="U42" i="36"/>
  <c r="V42" i="36"/>
  <c r="W42" i="36"/>
  <c r="X42" i="36"/>
  <c r="Y42" i="36"/>
  <c r="Z42" i="36"/>
  <c r="S42" i="36" s="1"/>
  <c r="AA42" i="36"/>
  <c r="AB42" i="36"/>
  <c r="AC42" i="36"/>
  <c r="AD42" i="36"/>
  <c r="AE42" i="36"/>
  <c r="AF42" i="36"/>
  <c r="AG42" i="36"/>
  <c r="AH42" i="36"/>
  <c r="AI42" i="36" s="1"/>
  <c r="AJ42" i="36" s="1"/>
  <c r="AK42" i="36" s="1"/>
  <c r="AL42" i="36" s="1"/>
  <c r="AM42" i="36" s="1"/>
  <c r="AN42" i="36" s="1"/>
  <c r="AO42" i="36" s="1"/>
  <c r="AP42" i="36" s="1"/>
  <c r="AQ42" i="36" s="1"/>
  <c r="T43" i="36"/>
  <c r="U43" i="36"/>
  <c r="V43" i="36"/>
  <c r="W43" i="36"/>
  <c r="S43" i="36" s="1"/>
  <c r="X43" i="36"/>
  <c r="Y43" i="36"/>
  <c r="Z43" i="36"/>
  <c r="AA43" i="36"/>
  <c r="AB43" i="36"/>
  <c r="AC43" i="36"/>
  <c r="AD43" i="36"/>
  <c r="AE43" i="36"/>
  <c r="AF43" i="36"/>
  <c r="AG43" i="36"/>
  <c r="AH43" i="36"/>
  <c r="AI43" i="36" s="1"/>
  <c r="AJ43" i="36" s="1"/>
  <c r="AK43" i="36" s="1"/>
  <c r="AL43" i="36" s="1"/>
  <c r="AM43" i="36" s="1"/>
  <c r="AN43" i="36" s="1"/>
  <c r="AO43" i="36" s="1"/>
  <c r="AP43" i="36" s="1"/>
  <c r="AQ43" i="36" s="1"/>
  <c r="T44" i="36"/>
  <c r="U44" i="36"/>
  <c r="V44" i="36"/>
  <c r="S44" i="36" s="1"/>
  <c r="W44" i="36"/>
  <c r="X44" i="36"/>
  <c r="Y44" i="36"/>
  <c r="Z44" i="36"/>
  <c r="AA44" i="36"/>
  <c r="AB44" i="36"/>
  <c r="AC44" i="36"/>
  <c r="AD44" i="36"/>
  <c r="AE44" i="36"/>
  <c r="AF44" i="36"/>
  <c r="AG44" i="36"/>
  <c r="AH44" i="36" s="1"/>
  <c r="AI44" i="36" s="1"/>
  <c r="AJ44" i="36" s="1"/>
  <c r="AK44" i="36" s="1"/>
  <c r="AL44" i="36" s="1"/>
  <c r="AM44" i="36" s="1"/>
  <c r="AN44" i="36" s="1"/>
  <c r="AO44" i="36" s="1"/>
  <c r="AP44" i="36" s="1"/>
  <c r="AQ44" i="36" s="1"/>
  <c r="T45" i="36"/>
  <c r="U45" i="36"/>
  <c r="S45" i="36" s="1"/>
  <c r="V45" i="36"/>
  <c r="W45" i="36"/>
  <c r="X45" i="36"/>
  <c r="Y45" i="36"/>
  <c r="Z45" i="36"/>
  <c r="AA45" i="36"/>
  <c r="AB45" i="36"/>
  <c r="AC45" i="36"/>
  <c r="AD45" i="36"/>
  <c r="AE45" i="36"/>
  <c r="AF45" i="36"/>
  <c r="AG45" i="36" s="1"/>
  <c r="AH45" i="36" s="1"/>
  <c r="T46" i="36"/>
  <c r="U46" i="36"/>
  <c r="V46" i="36"/>
  <c r="W46" i="36"/>
  <c r="X46" i="36"/>
  <c r="Y46" i="36"/>
  <c r="Z46" i="36"/>
  <c r="AA46" i="36"/>
  <c r="AB46" i="36"/>
  <c r="AC46" i="36"/>
  <c r="AD46" i="36"/>
  <c r="AE46" i="36"/>
  <c r="T47" i="36"/>
  <c r="AF47" i="36" s="1"/>
  <c r="AG47" i="36" s="1"/>
  <c r="AH47" i="36" s="1"/>
  <c r="AI47" i="36" s="1"/>
  <c r="AJ47" i="36" s="1"/>
  <c r="U47" i="36"/>
  <c r="V47" i="36"/>
  <c r="W47" i="36"/>
  <c r="X47" i="36"/>
  <c r="Y47" i="36"/>
  <c r="Z47" i="36"/>
  <c r="AA47" i="36"/>
  <c r="AB47" i="36"/>
  <c r="AC47" i="36"/>
  <c r="AD47" i="36"/>
  <c r="AE47" i="36"/>
  <c r="AK47" i="36"/>
  <c r="AL47" i="36"/>
  <c r="AM47" i="36" s="1"/>
  <c r="AN47" i="36" s="1"/>
  <c r="AO47" i="36" s="1"/>
  <c r="AP47" i="36" s="1"/>
  <c r="AQ47" i="36" s="1"/>
  <c r="T48" i="36"/>
  <c r="U48" i="36"/>
  <c r="V48" i="36"/>
  <c r="W48" i="36"/>
  <c r="X48" i="36"/>
  <c r="Y48" i="36"/>
  <c r="Z48" i="36"/>
  <c r="AA48" i="36"/>
  <c r="AB48" i="36"/>
  <c r="AC48" i="36"/>
  <c r="AD48" i="36"/>
  <c r="AE48" i="36"/>
  <c r="T49" i="36"/>
  <c r="U49" i="36"/>
  <c r="V49" i="36"/>
  <c r="W49" i="36"/>
  <c r="X49" i="36"/>
  <c r="Y49" i="36"/>
  <c r="Z49" i="36"/>
  <c r="S49" i="36" s="1"/>
  <c r="AA49" i="36"/>
  <c r="AB49" i="36"/>
  <c r="AC49" i="36"/>
  <c r="AD49" i="36"/>
  <c r="AE49" i="36"/>
  <c r="AF49" i="36"/>
  <c r="AG49" i="36" s="1"/>
  <c r="AH49" i="36" s="1"/>
  <c r="AI49" i="36" s="1"/>
  <c r="AJ49" i="36" s="1"/>
  <c r="AK49" i="36" s="1"/>
  <c r="AL49" i="36" s="1"/>
  <c r="AM49" i="36" s="1"/>
  <c r="AN49" i="36" s="1"/>
  <c r="AO49" i="36" s="1"/>
  <c r="AP49" i="36" s="1"/>
  <c r="AQ49" i="36" s="1"/>
  <c r="T50" i="36"/>
  <c r="U50" i="36"/>
  <c r="V50" i="36"/>
  <c r="W50" i="36"/>
  <c r="X50" i="36"/>
  <c r="Y50" i="36"/>
  <c r="S50" i="36" s="1"/>
  <c r="Z50" i="36"/>
  <c r="AA50" i="36"/>
  <c r="AB50" i="36"/>
  <c r="AC50" i="36"/>
  <c r="AD50" i="36"/>
  <c r="AE50" i="36"/>
  <c r="AF50" i="36"/>
  <c r="AG50" i="36"/>
  <c r="AH50" i="36" s="1"/>
  <c r="AI50" i="36" s="1"/>
  <c r="AJ50" i="36" s="1"/>
  <c r="AK50" i="36" s="1"/>
  <c r="AL50" i="36" s="1"/>
  <c r="AM50" i="36" s="1"/>
  <c r="AN50" i="36" s="1"/>
  <c r="AO50" i="36" s="1"/>
  <c r="AP50" i="36" s="1"/>
  <c r="AQ50" i="36" s="1"/>
  <c r="T51" i="36"/>
  <c r="U51" i="36"/>
  <c r="V51" i="36"/>
  <c r="W51" i="36"/>
  <c r="X51" i="36"/>
  <c r="Y51" i="36"/>
  <c r="Z51" i="36"/>
  <c r="AA51" i="36"/>
  <c r="AB51" i="36"/>
  <c r="AC51" i="36"/>
  <c r="AD51" i="36"/>
  <c r="AE51" i="36"/>
  <c r="AF51" i="36"/>
  <c r="AG51" i="36" s="1"/>
  <c r="AH51" i="36" s="1"/>
  <c r="AI51" i="36" s="1"/>
  <c r="AJ51" i="36" s="1"/>
  <c r="AK51" i="36" s="1"/>
  <c r="AL51" i="36" s="1"/>
  <c r="AM51" i="36" s="1"/>
  <c r="AN51" i="36" s="1"/>
  <c r="AO51" i="36"/>
  <c r="AP51" i="36" s="1"/>
  <c r="AQ51" i="36" s="1"/>
  <c r="T52" i="36"/>
  <c r="U52" i="36"/>
  <c r="V52" i="36"/>
  <c r="W52" i="36"/>
  <c r="X52" i="36"/>
  <c r="Y52" i="36"/>
  <c r="Z52" i="36"/>
  <c r="AA52" i="36"/>
  <c r="AB52" i="36"/>
  <c r="AC52" i="36"/>
  <c r="AD52" i="36"/>
  <c r="AE52" i="36"/>
  <c r="AF52" i="36"/>
  <c r="AG52" i="36" s="1"/>
  <c r="AH52" i="36" s="1"/>
  <c r="AI52" i="36" s="1"/>
  <c r="AJ52" i="36" s="1"/>
  <c r="AK52" i="36" s="1"/>
  <c r="AL52" i="36" s="1"/>
  <c r="AM52" i="36" s="1"/>
  <c r="AN52" i="36" s="1"/>
  <c r="AO52" i="36" s="1"/>
  <c r="AP52" i="36" s="1"/>
  <c r="AQ52" i="36" s="1"/>
  <c r="T53" i="36"/>
  <c r="U53" i="36"/>
  <c r="V53" i="36"/>
  <c r="W53" i="36"/>
  <c r="X53" i="36"/>
  <c r="Y53" i="36"/>
  <c r="Z53" i="36"/>
  <c r="AA53" i="36"/>
  <c r="AB53" i="36"/>
  <c r="AC53" i="36"/>
  <c r="AD53" i="36"/>
  <c r="AE53" i="36"/>
  <c r="AF53" i="36"/>
  <c r="AG53" i="36" s="1"/>
  <c r="AH53" i="36" s="1"/>
  <c r="T54" i="36"/>
  <c r="U54" i="36"/>
  <c r="V54" i="36"/>
  <c r="W54" i="36"/>
  <c r="X54" i="36"/>
  <c r="Y54" i="36"/>
  <c r="Z54" i="36"/>
  <c r="AA54" i="36"/>
  <c r="AB54" i="36"/>
  <c r="AC54" i="36"/>
  <c r="AD54" i="36"/>
  <c r="AE54" i="36"/>
  <c r="T55" i="36"/>
  <c r="AF55" i="36" s="1"/>
  <c r="AG55" i="36" s="1"/>
  <c r="U55" i="36"/>
  <c r="V55" i="36"/>
  <c r="W55" i="36"/>
  <c r="X55" i="36"/>
  <c r="Y55" i="36"/>
  <c r="Z55" i="36"/>
  <c r="AA55" i="36"/>
  <c r="S55" i="36" s="1"/>
  <c r="AB55" i="36"/>
  <c r="AC55" i="36"/>
  <c r="AD55" i="36"/>
  <c r="AE55" i="36"/>
  <c r="AH55" i="36"/>
  <c r="AI55" i="36"/>
  <c r="AJ55" i="36" s="1"/>
  <c r="AK55" i="36" s="1"/>
  <c r="AL55" i="36" s="1"/>
  <c r="AM55" i="36" s="1"/>
  <c r="AN55" i="36" s="1"/>
  <c r="AO55" i="36" s="1"/>
  <c r="AP55" i="36" s="1"/>
  <c r="AQ55" i="36" s="1"/>
  <c r="T56" i="36"/>
  <c r="AF56" i="36" s="1"/>
  <c r="AG56" i="36" s="1"/>
  <c r="AH56" i="36" s="1"/>
  <c r="AI56" i="36" s="1"/>
  <c r="AJ56" i="36" s="1"/>
  <c r="AK56" i="36" s="1"/>
  <c r="AL56" i="36" s="1"/>
  <c r="AM56" i="36" s="1"/>
  <c r="AN56" i="36" s="1"/>
  <c r="U56" i="36"/>
  <c r="V56" i="36"/>
  <c r="W56" i="36"/>
  <c r="X56" i="36"/>
  <c r="Y56" i="36"/>
  <c r="Z56" i="36"/>
  <c r="S56" i="36" s="1"/>
  <c r="AA56" i="36"/>
  <c r="AB56" i="36"/>
  <c r="AC56" i="36"/>
  <c r="AD56" i="36"/>
  <c r="AE56" i="36"/>
  <c r="AO56" i="36"/>
  <c r="AP56" i="36" s="1"/>
  <c r="AQ56" i="36" s="1"/>
  <c r="T57" i="36"/>
  <c r="U57" i="36"/>
  <c r="V57" i="36"/>
  <c r="W57" i="36"/>
  <c r="X57" i="36"/>
  <c r="S57" i="36" s="1"/>
  <c r="Y57" i="36"/>
  <c r="Z57" i="36"/>
  <c r="AA57" i="36"/>
  <c r="AB57" i="36"/>
  <c r="AC57" i="36"/>
  <c r="AD57" i="36"/>
  <c r="AE57" i="36"/>
  <c r="AF57" i="36"/>
  <c r="AG57" i="36" s="1"/>
  <c r="AH57" i="36" s="1"/>
  <c r="AI57" i="36" s="1"/>
  <c r="AJ57" i="36" s="1"/>
  <c r="AK57" i="36" s="1"/>
  <c r="AL57" i="36" s="1"/>
  <c r="AM57" i="36" s="1"/>
  <c r="AN57" i="36" s="1"/>
  <c r="AO57" i="36" s="1"/>
  <c r="AP57" i="36" s="1"/>
  <c r="AQ57" i="36" s="1"/>
  <c r="T58" i="36"/>
  <c r="U58" i="36"/>
  <c r="V58" i="36"/>
  <c r="S58" i="36" s="1"/>
  <c r="W58" i="36"/>
  <c r="X58" i="36"/>
  <c r="Y58" i="36"/>
  <c r="Z58" i="36"/>
  <c r="AA58" i="36"/>
  <c r="AB58" i="36"/>
  <c r="AC58" i="36"/>
  <c r="AD58" i="36"/>
  <c r="AE58" i="36"/>
  <c r="AF58" i="36"/>
  <c r="AG58" i="36" s="1"/>
  <c r="AH58" i="36" s="1"/>
  <c r="AI58" i="36" s="1"/>
  <c r="AJ58" i="36" s="1"/>
  <c r="AK58" i="36" s="1"/>
  <c r="AL58" i="36" s="1"/>
  <c r="AM58" i="36" s="1"/>
  <c r="AN58" i="36" s="1"/>
  <c r="AO58" i="36"/>
  <c r="AP58" i="36" s="1"/>
  <c r="AQ58" i="36" s="1"/>
  <c r="T60" i="36"/>
  <c r="U60" i="36"/>
  <c r="V60" i="36"/>
  <c r="W60" i="36"/>
  <c r="X60" i="36"/>
  <c r="Y60" i="36"/>
  <c r="S60" i="36" s="1"/>
  <c r="Z60" i="36"/>
  <c r="AA60" i="36"/>
  <c r="AB60" i="36"/>
  <c r="AC60" i="36"/>
  <c r="AD60" i="36"/>
  <c r="AE60" i="36"/>
  <c r="AF60" i="36"/>
  <c r="AG60" i="36"/>
  <c r="AH60" i="36" s="1"/>
  <c r="AI60" i="36" s="1"/>
  <c r="AJ60" i="36" s="1"/>
  <c r="AK60" i="36" s="1"/>
  <c r="AL60" i="36" s="1"/>
  <c r="AM60" i="36" s="1"/>
  <c r="AN60" i="36" s="1"/>
  <c r="AO60" i="36"/>
  <c r="AP60" i="36" s="1"/>
  <c r="AQ60" i="36" s="1"/>
  <c r="T61" i="36"/>
  <c r="U61" i="36"/>
  <c r="V61" i="36"/>
  <c r="W61" i="36"/>
  <c r="X61" i="36"/>
  <c r="Y61" i="36"/>
  <c r="Z61" i="36"/>
  <c r="AA61" i="36"/>
  <c r="AB61" i="36"/>
  <c r="AC61" i="36"/>
  <c r="AD61" i="36"/>
  <c r="AE61" i="36"/>
  <c r="AF61" i="36"/>
  <c r="AG61" i="36" s="1"/>
  <c r="AH61" i="36" s="1"/>
  <c r="AI61" i="36" s="1"/>
  <c r="AJ61" i="36" s="1"/>
  <c r="AK61" i="36" s="1"/>
  <c r="AL61" i="36" s="1"/>
  <c r="AM61" i="36" s="1"/>
  <c r="AN61" i="36" s="1"/>
  <c r="AO61" i="36" s="1"/>
  <c r="AP61" i="36" s="1"/>
  <c r="AQ61" i="36" s="1"/>
  <c r="T62" i="36"/>
  <c r="U62" i="36"/>
  <c r="V62" i="36"/>
  <c r="W62" i="36"/>
  <c r="X62" i="36"/>
  <c r="Y62" i="36"/>
  <c r="Z62" i="36"/>
  <c r="AA62" i="36"/>
  <c r="AB62" i="36"/>
  <c r="AC62" i="36"/>
  <c r="AD62" i="36"/>
  <c r="AE62" i="36"/>
  <c r="AF62" i="36"/>
  <c r="AG62" i="36"/>
  <c r="AH62" i="36" s="1"/>
  <c r="T63" i="36"/>
  <c r="U63" i="36"/>
  <c r="V63" i="36"/>
  <c r="W63" i="36"/>
  <c r="X63" i="36"/>
  <c r="Y63" i="36"/>
  <c r="Z63" i="36"/>
  <c r="AA63" i="36"/>
  <c r="AB63" i="36"/>
  <c r="AC63" i="36"/>
  <c r="AD63" i="36"/>
  <c r="AE63" i="36"/>
  <c r="AF63" i="36"/>
  <c r="AG63" i="36" s="1"/>
  <c r="AH63" i="36" s="1"/>
  <c r="AI63" i="36" s="1"/>
  <c r="AJ63" i="36" s="1"/>
  <c r="AK63" i="36" s="1"/>
  <c r="AL63" i="36" s="1"/>
  <c r="AM63" i="36" s="1"/>
  <c r="AN63" i="36" s="1"/>
  <c r="AO63" i="36" s="1"/>
  <c r="AP63" i="36" s="1"/>
  <c r="AQ63" i="36" s="1"/>
  <c r="T64" i="36"/>
  <c r="AF64" i="36" s="1"/>
  <c r="U64" i="36"/>
  <c r="V64" i="36"/>
  <c r="W64" i="36"/>
  <c r="X64" i="36"/>
  <c r="Y64" i="36"/>
  <c r="Z64" i="36"/>
  <c r="AA64" i="36"/>
  <c r="AB64" i="36"/>
  <c r="AC64" i="36"/>
  <c r="AD64" i="36"/>
  <c r="AE64" i="36"/>
  <c r="T65" i="36"/>
  <c r="U65" i="36"/>
  <c r="V65" i="36"/>
  <c r="W65" i="36"/>
  <c r="X65" i="36"/>
  <c r="Y65" i="36"/>
  <c r="Z65" i="36"/>
  <c r="AA65" i="36"/>
  <c r="AB65" i="36"/>
  <c r="AC65" i="36"/>
  <c r="AD65" i="36"/>
  <c r="AE65" i="36"/>
  <c r="T66" i="36"/>
  <c r="AF66" i="36" s="1"/>
  <c r="AG66" i="36" s="1"/>
  <c r="AH66" i="36" s="1"/>
  <c r="U66" i="36"/>
  <c r="V66" i="36"/>
  <c r="W66" i="36"/>
  <c r="X66" i="36"/>
  <c r="Y66" i="36"/>
  <c r="Z66" i="36"/>
  <c r="AA66" i="36"/>
  <c r="S66" i="36" s="1"/>
  <c r="AB66" i="36"/>
  <c r="AC66" i="36"/>
  <c r="AD66" i="36"/>
  <c r="AE66" i="36"/>
  <c r="AI66" i="36"/>
  <c r="AJ66" i="36" s="1"/>
  <c r="AK66" i="36" s="1"/>
  <c r="AL66" i="36" s="1"/>
  <c r="AM66" i="36" s="1"/>
  <c r="AN66" i="36" s="1"/>
  <c r="AO66" i="36" s="1"/>
  <c r="AP66" i="36" s="1"/>
  <c r="AQ66" i="36" s="1"/>
  <c r="T67" i="36"/>
  <c r="AF67" i="36" s="1"/>
  <c r="AG67" i="36" s="1"/>
  <c r="AH67" i="36" s="1"/>
  <c r="AI67" i="36" s="1"/>
  <c r="AJ67" i="36" s="1"/>
  <c r="AK67" i="36" s="1"/>
  <c r="AL67" i="36" s="1"/>
  <c r="AM67" i="36" s="1"/>
  <c r="AN67" i="36" s="1"/>
  <c r="AO67" i="36" s="1"/>
  <c r="AP67" i="36" s="1"/>
  <c r="AQ67" i="36" s="1"/>
  <c r="U67" i="36"/>
  <c r="V67" i="36"/>
  <c r="W67" i="36"/>
  <c r="X67" i="36"/>
  <c r="Y67" i="36"/>
  <c r="Z67" i="36"/>
  <c r="AA67" i="36"/>
  <c r="AB67" i="36"/>
  <c r="AC67" i="36"/>
  <c r="AD67" i="36"/>
  <c r="AE67" i="36"/>
  <c r="T68" i="36"/>
  <c r="U68" i="36"/>
  <c r="V68" i="36"/>
  <c r="W68" i="36"/>
  <c r="X68" i="36"/>
  <c r="Y68" i="36"/>
  <c r="S68" i="36" s="1"/>
  <c r="Z68" i="36"/>
  <c r="AA68" i="36"/>
  <c r="AB68" i="36"/>
  <c r="AC68" i="36"/>
  <c r="AD68" i="36"/>
  <c r="AE68" i="36"/>
  <c r="AF68" i="36"/>
  <c r="AG68" i="36"/>
  <c r="AH68" i="36" s="1"/>
  <c r="AI68" i="36" s="1"/>
  <c r="AJ68" i="36" s="1"/>
  <c r="AK68" i="36" s="1"/>
  <c r="AL68" i="36" s="1"/>
  <c r="AM68" i="36" s="1"/>
  <c r="AN68" i="36" s="1"/>
  <c r="AO68" i="36" s="1"/>
  <c r="AP68" i="36" s="1"/>
  <c r="AQ68" i="36" s="1"/>
  <c r="T69" i="36"/>
  <c r="U69" i="36"/>
  <c r="S69" i="36" s="1"/>
  <c r="V69" i="36"/>
  <c r="W69" i="36"/>
  <c r="X69" i="36"/>
  <c r="Y69" i="36"/>
  <c r="Z69" i="36"/>
  <c r="AA69" i="36"/>
  <c r="AB69" i="36"/>
  <c r="AC69" i="36"/>
  <c r="AD69" i="36"/>
  <c r="AE69" i="36"/>
  <c r="AF69" i="36"/>
  <c r="AG69" i="36" s="1"/>
  <c r="AH69" i="36" s="1"/>
  <c r="AI69" i="36" s="1"/>
  <c r="AJ69" i="36" s="1"/>
  <c r="AK69" i="36" s="1"/>
  <c r="AL69" i="36" s="1"/>
  <c r="AM69" i="36" s="1"/>
  <c r="AN69" i="36"/>
  <c r="AO69" i="36" s="1"/>
  <c r="AP69" i="36" s="1"/>
  <c r="AQ69" i="36" s="1"/>
  <c r="T70" i="36"/>
  <c r="S70" i="36" s="1"/>
  <c r="U70" i="36"/>
  <c r="V70" i="36"/>
  <c r="W70" i="36"/>
  <c r="W97" i="36" s="1"/>
  <c r="X70" i="36"/>
  <c r="Y70" i="36"/>
  <c r="Z70" i="36"/>
  <c r="AA70" i="36"/>
  <c r="AB70" i="36"/>
  <c r="AC70" i="36"/>
  <c r="AD70" i="36"/>
  <c r="AE70" i="36"/>
  <c r="AE97" i="36" s="1"/>
  <c r="AE96" i="36" s="1"/>
  <c r="AF70" i="36"/>
  <c r="AG70" i="36"/>
  <c r="AH70" i="36" s="1"/>
  <c r="AI70" i="36" s="1"/>
  <c r="AJ70" i="36" s="1"/>
  <c r="AK70" i="36" s="1"/>
  <c r="AL70" i="36" s="1"/>
  <c r="AM70" i="36" s="1"/>
  <c r="AN70" i="36" s="1"/>
  <c r="AO70" i="36" s="1"/>
  <c r="AP70" i="36" s="1"/>
  <c r="AQ70" i="36" s="1"/>
  <c r="T71" i="36"/>
  <c r="U71" i="36"/>
  <c r="V71" i="36"/>
  <c r="W71" i="36"/>
  <c r="X71" i="36"/>
  <c r="Y71" i="36"/>
  <c r="Z71" i="36"/>
  <c r="AA71" i="36"/>
  <c r="AB71" i="36"/>
  <c r="AC71" i="36"/>
  <c r="AD71" i="36"/>
  <c r="AE71" i="36"/>
  <c r="AF71" i="36"/>
  <c r="AG71" i="36" s="1"/>
  <c r="AH71" i="36" s="1"/>
  <c r="AI71" i="36" s="1"/>
  <c r="AJ71" i="36" s="1"/>
  <c r="AK71" i="36" s="1"/>
  <c r="AL71" i="36" s="1"/>
  <c r="AM71" i="36" s="1"/>
  <c r="AN71" i="36" s="1"/>
  <c r="AO71" i="36" s="1"/>
  <c r="AP71" i="36" s="1"/>
  <c r="AQ71" i="36" s="1"/>
  <c r="T72" i="36"/>
  <c r="AF72" i="36" s="1"/>
  <c r="AG72" i="36" s="1"/>
  <c r="AH72" i="36" s="1"/>
  <c r="AI72" i="36" s="1"/>
  <c r="AJ72" i="36" s="1"/>
  <c r="AK72" i="36" s="1"/>
  <c r="AL72" i="36" s="1"/>
  <c r="AM72" i="36" s="1"/>
  <c r="AN72" i="36" s="1"/>
  <c r="AO72" i="36" s="1"/>
  <c r="AP72" i="36" s="1"/>
  <c r="AQ72" i="36" s="1"/>
  <c r="U72" i="36"/>
  <c r="V72" i="36"/>
  <c r="W72" i="36"/>
  <c r="X72" i="36"/>
  <c r="Y72" i="36"/>
  <c r="Z72" i="36"/>
  <c r="AA72" i="36"/>
  <c r="AB72" i="36"/>
  <c r="AC72" i="36"/>
  <c r="AD72" i="36"/>
  <c r="AE72" i="36"/>
  <c r="T73" i="36"/>
  <c r="U73" i="36"/>
  <c r="V73" i="36"/>
  <c r="W73" i="36"/>
  <c r="X73" i="36"/>
  <c r="Y73" i="36"/>
  <c r="Z73" i="36"/>
  <c r="AA73" i="36"/>
  <c r="AB73" i="36"/>
  <c r="AC73" i="36"/>
  <c r="AD73" i="36"/>
  <c r="AE73" i="36"/>
  <c r="T74" i="36"/>
  <c r="U74" i="36"/>
  <c r="S74" i="36" s="1"/>
  <c r="V74" i="36"/>
  <c r="W74" i="36"/>
  <c r="X74" i="36"/>
  <c r="Y74" i="36"/>
  <c r="Z74" i="36"/>
  <c r="AA74" i="36"/>
  <c r="AB74" i="36"/>
  <c r="AC74" i="36"/>
  <c r="AD74" i="36"/>
  <c r="AE74" i="36"/>
  <c r="AF74" i="36"/>
  <c r="T75" i="36"/>
  <c r="U75" i="36"/>
  <c r="V75" i="36"/>
  <c r="W75" i="36"/>
  <c r="X75" i="36"/>
  <c r="Y75" i="36"/>
  <c r="Z75" i="36"/>
  <c r="AA75" i="36"/>
  <c r="AB75" i="36"/>
  <c r="AC75" i="36"/>
  <c r="AD75" i="36"/>
  <c r="AE75" i="36"/>
  <c r="T76" i="36"/>
  <c r="U76" i="36"/>
  <c r="V76" i="36"/>
  <c r="W76" i="36"/>
  <c r="X76" i="36"/>
  <c r="Y76" i="36"/>
  <c r="S76" i="36" s="1"/>
  <c r="Z76" i="36"/>
  <c r="AA76" i="36"/>
  <c r="AB76" i="36"/>
  <c r="AC76" i="36"/>
  <c r="AD76" i="36"/>
  <c r="AE76" i="36"/>
  <c r="AF76" i="36"/>
  <c r="AG76" i="36"/>
  <c r="AH76" i="36" s="1"/>
  <c r="AI76" i="36"/>
  <c r="AJ76" i="36" s="1"/>
  <c r="AK76" i="36" s="1"/>
  <c r="AL76" i="36" s="1"/>
  <c r="AM76" i="36" s="1"/>
  <c r="AN76" i="36" s="1"/>
  <c r="AO76" i="36" s="1"/>
  <c r="AP76" i="36" s="1"/>
  <c r="AQ76" i="36" s="1"/>
  <c r="S77" i="36"/>
  <c r="AF77" i="36"/>
  <c r="AG77" i="36"/>
  <c r="AH77" i="36" s="1"/>
  <c r="AI77" i="36" s="1"/>
  <c r="AJ77" i="36" s="1"/>
  <c r="AK77" i="36" s="1"/>
  <c r="AL77" i="36" s="1"/>
  <c r="AM77" i="36" s="1"/>
  <c r="AN77" i="36" s="1"/>
  <c r="AO77" i="36" s="1"/>
  <c r="AP77" i="36" s="1"/>
  <c r="AQ77" i="36" s="1"/>
  <c r="S78" i="36"/>
  <c r="AF78" i="36"/>
  <c r="AG78" i="36"/>
  <c r="AH78" i="36" s="1"/>
  <c r="AI78" i="36" s="1"/>
  <c r="AJ78" i="36" s="1"/>
  <c r="AK78" i="36" s="1"/>
  <c r="AL78" i="36" s="1"/>
  <c r="AM78" i="36" s="1"/>
  <c r="AN78" i="36" s="1"/>
  <c r="AO78" i="36" s="1"/>
  <c r="AP78" i="36" s="1"/>
  <c r="AQ78" i="36" s="1"/>
  <c r="V79" i="36"/>
  <c r="X79" i="36"/>
  <c r="Y79" i="36"/>
  <c r="AA79" i="36"/>
  <c r="AE79" i="36"/>
  <c r="K80" i="36"/>
  <c r="L80" i="36"/>
  <c r="M80" i="36"/>
  <c r="N80" i="36"/>
  <c r="O80" i="36"/>
  <c r="P80" i="36"/>
  <c r="Q80" i="36"/>
  <c r="R80" i="36"/>
  <c r="T80" i="36"/>
  <c r="AF80" i="36" s="1"/>
  <c r="U80" i="36"/>
  <c r="V80" i="36"/>
  <c r="W80" i="36"/>
  <c r="W79" i="36" s="1"/>
  <c r="X80" i="36"/>
  <c r="Y80" i="36"/>
  <c r="Z80" i="36"/>
  <c r="Z79" i="36" s="1"/>
  <c r="AA80" i="36"/>
  <c r="AB80" i="36"/>
  <c r="AB79" i="36" s="1"/>
  <c r="AC80" i="36"/>
  <c r="AC79" i="36" s="1"/>
  <c r="AD80" i="36"/>
  <c r="AD79" i="36" s="1"/>
  <c r="AE80" i="36"/>
  <c r="S81" i="36"/>
  <c r="AF81" i="36"/>
  <c r="AG81" i="36"/>
  <c r="AH81" i="36"/>
  <c r="AI81" i="36" s="1"/>
  <c r="AJ81" i="36" s="1"/>
  <c r="AK81" i="36" s="1"/>
  <c r="AL81" i="36" s="1"/>
  <c r="AM81" i="36" s="1"/>
  <c r="AN81" i="36" s="1"/>
  <c r="AO81" i="36" s="1"/>
  <c r="AP81" i="36" s="1"/>
  <c r="AQ81" i="36" s="1"/>
  <c r="S82" i="36"/>
  <c r="AF82" i="36"/>
  <c r="AG82" i="36" s="1"/>
  <c r="AH82" i="36" s="1"/>
  <c r="AI82" i="36"/>
  <c r="AJ82" i="36"/>
  <c r="AK82" i="36" s="1"/>
  <c r="AL82" i="36" s="1"/>
  <c r="AM82" i="36" s="1"/>
  <c r="AN82" i="36" s="1"/>
  <c r="AO82" i="36" s="1"/>
  <c r="AP82" i="36" s="1"/>
  <c r="AQ82" i="36" s="1"/>
  <c r="S83" i="36"/>
  <c r="AF83" i="36"/>
  <c r="AG83" i="36" s="1"/>
  <c r="AH83" i="36" s="1"/>
  <c r="AI83" i="36" s="1"/>
  <c r="AJ83" i="36" s="1"/>
  <c r="AK83" i="36" s="1"/>
  <c r="AL83" i="36" s="1"/>
  <c r="AM83" i="36" s="1"/>
  <c r="AN83" i="36" s="1"/>
  <c r="AO83" i="36" s="1"/>
  <c r="AP83" i="36" s="1"/>
  <c r="AQ83" i="36" s="1"/>
  <c r="S84" i="36"/>
  <c r="AF84" i="36"/>
  <c r="AG84" i="36"/>
  <c r="AH84" i="36" s="1"/>
  <c r="AI84" i="36" s="1"/>
  <c r="AJ84" i="36" s="1"/>
  <c r="AK84" i="36" s="1"/>
  <c r="AL84" i="36" s="1"/>
  <c r="AM84" i="36" s="1"/>
  <c r="AN84" i="36" s="1"/>
  <c r="AO84" i="36" s="1"/>
  <c r="AP84" i="36" s="1"/>
  <c r="AQ84" i="36" s="1"/>
  <c r="S85" i="36"/>
  <c r="AF85" i="36"/>
  <c r="AG85" i="36"/>
  <c r="AH85" i="36"/>
  <c r="AI85" i="36" s="1"/>
  <c r="AJ85" i="36" s="1"/>
  <c r="AK85" i="36" s="1"/>
  <c r="AL85" i="36" s="1"/>
  <c r="AM85" i="36" s="1"/>
  <c r="AN85" i="36" s="1"/>
  <c r="AO85" i="36" s="1"/>
  <c r="AP85" i="36" s="1"/>
  <c r="AQ85" i="36" s="1"/>
  <c r="S86" i="36"/>
  <c r="AF86" i="36"/>
  <c r="AG86" i="36"/>
  <c r="AH86" i="36" s="1"/>
  <c r="AI86" i="36" s="1"/>
  <c r="AJ86" i="36" s="1"/>
  <c r="AK86" i="36" s="1"/>
  <c r="AL86" i="36" s="1"/>
  <c r="AM86" i="36" s="1"/>
  <c r="AN86" i="36" s="1"/>
  <c r="AO86" i="36" s="1"/>
  <c r="AP86" i="36" s="1"/>
  <c r="AQ86" i="36" s="1"/>
  <c r="S87" i="36"/>
  <c r="AF87" i="36"/>
  <c r="AG87" i="36" s="1"/>
  <c r="AH87" i="36" s="1"/>
  <c r="AI87" i="36" s="1"/>
  <c r="AJ87" i="36" s="1"/>
  <c r="AK87" i="36" s="1"/>
  <c r="AL87" i="36" s="1"/>
  <c r="AM87" i="36" s="1"/>
  <c r="AN87" i="36" s="1"/>
  <c r="AO87" i="36" s="1"/>
  <c r="AP87" i="36" s="1"/>
  <c r="AQ87" i="36" s="1"/>
  <c r="S88" i="36"/>
  <c r="AF88" i="36"/>
  <c r="AG88" i="36" s="1"/>
  <c r="AH88" i="36" s="1"/>
  <c r="AI88" i="36" s="1"/>
  <c r="AJ88" i="36" s="1"/>
  <c r="AK88" i="36" s="1"/>
  <c r="AL88" i="36" s="1"/>
  <c r="AM88" i="36" s="1"/>
  <c r="AN88" i="36" s="1"/>
  <c r="AO88" i="36" s="1"/>
  <c r="AP88" i="36" s="1"/>
  <c r="AQ88" i="36" s="1"/>
  <c r="S89" i="36"/>
  <c r="AF89" i="36"/>
  <c r="AG89" i="36"/>
  <c r="AH89" i="36"/>
  <c r="AI89" i="36" s="1"/>
  <c r="AJ89" i="36" s="1"/>
  <c r="AK89" i="36" s="1"/>
  <c r="AL89" i="36" s="1"/>
  <c r="AM89" i="36" s="1"/>
  <c r="AN89" i="36" s="1"/>
  <c r="AO89" i="36" s="1"/>
  <c r="AP89" i="36" s="1"/>
  <c r="AQ89" i="36" s="1"/>
  <c r="S90" i="36"/>
  <c r="AF90" i="36"/>
  <c r="AG90" i="36" s="1"/>
  <c r="AH90" i="36" s="1"/>
  <c r="AI90" i="36" s="1"/>
  <c r="AJ90" i="36" s="1"/>
  <c r="AK90" i="36" s="1"/>
  <c r="AL90" i="36" s="1"/>
  <c r="AM90" i="36" s="1"/>
  <c r="AN90" i="36" s="1"/>
  <c r="AO90" i="36" s="1"/>
  <c r="AP90" i="36" s="1"/>
  <c r="AQ90" i="36" s="1"/>
  <c r="S91" i="36"/>
  <c r="AF91" i="36"/>
  <c r="AG91" i="36"/>
  <c r="AH91" i="36" s="1"/>
  <c r="AI91" i="36"/>
  <c r="AJ91" i="36" s="1"/>
  <c r="AK91" i="36" s="1"/>
  <c r="AL91" i="36" s="1"/>
  <c r="AM91" i="36" s="1"/>
  <c r="AN91" i="36" s="1"/>
  <c r="AO91" i="36" s="1"/>
  <c r="AP91" i="36" s="1"/>
  <c r="AQ91" i="36" s="1"/>
  <c r="S92" i="36"/>
  <c r="AF92" i="36"/>
  <c r="AG92" i="36"/>
  <c r="AH92" i="36" s="1"/>
  <c r="AI92" i="36" s="1"/>
  <c r="AJ92" i="36" s="1"/>
  <c r="AK92" i="36" s="1"/>
  <c r="AL92" i="36" s="1"/>
  <c r="AM92" i="36" s="1"/>
  <c r="AN92" i="36" s="1"/>
  <c r="AO92" i="36" s="1"/>
  <c r="AP92" i="36" s="1"/>
  <c r="AQ92" i="36" s="1"/>
  <c r="S93" i="36"/>
  <c r="AF93" i="36"/>
  <c r="AG93" i="36"/>
  <c r="AH93" i="36"/>
  <c r="AI93" i="36"/>
  <c r="AJ93" i="36" s="1"/>
  <c r="AK93" i="36" s="1"/>
  <c r="AL93" i="36" s="1"/>
  <c r="AM93" i="36" s="1"/>
  <c r="AN93" i="36" s="1"/>
  <c r="AO93" i="36" s="1"/>
  <c r="AP93" i="36" s="1"/>
  <c r="AQ93" i="36" s="1"/>
  <c r="S94" i="36"/>
  <c r="AF94" i="36"/>
  <c r="AG94" i="36"/>
  <c r="AH94" i="36" s="1"/>
  <c r="AI94" i="36" s="1"/>
  <c r="AJ94" i="36" s="1"/>
  <c r="AK94" i="36" s="1"/>
  <c r="AL94" i="36" s="1"/>
  <c r="AM94" i="36" s="1"/>
  <c r="AN94" i="36" s="1"/>
  <c r="AO94" i="36" s="1"/>
  <c r="AP94" i="36" s="1"/>
  <c r="AQ94" i="36" s="1"/>
  <c r="S95" i="36"/>
  <c r="AF95" i="36"/>
  <c r="AG95" i="36"/>
  <c r="AH95" i="36" s="1"/>
  <c r="AI95" i="36" s="1"/>
  <c r="AJ95" i="36" s="1"/>
  <c r="AK95" i="36" s="1"/>
  <c r="AL95" i="36" s="1"/>
  <c r="AM95" i="36" s="1"/>
  <c r="AN95" i="36" s="1"/>
  <c r="AO95" i="36" s="1"/>
  <c r="AP95" i="36" s="1"/>
  <c r="AQ95" i="36" s="1"/>
  <c r="T96" i="36"/>
  <c r="Z96" i="36"/>
  <c r="AB96" i="36"/>
  <c r="AF96" i="36"/>
  <c r="AG96" i="36" s="1"/>
  <c r="AH96" i="36" s="1"/>
  <c r="K97" i="36"/>
  <c r="L97" i="36"/>
  <c r="M97" i="36"/>
  <c r="N97" i="36"/>
  <c r="O97" i="36"/>
  <c r="P97" i="36"/>
  <c r="Q97" i="36"/>
  <c r="R97" i="36"/>
  <c r="T97" i="36"/>
  <c r="U97" i="36"/>
  <c r="U96" i="36" s="1"/>
  <c r="V97" i="36"/>
  <c r="V96" i="36" s="1"/>
  <c r="X97" i="36"/>
  <c r="X96" i="36" s="1"/>
  <c r="Y97" i="36"/>
  <c r="Y96" i="36" s="1"/>
  <c r="Z97" i="36"/>
  <c r="AA97" i="36"/>
  <c r="AA96" i="36" s="1"/>
  <c r="AB97" i="36"/>
  <c r="AC97" i="36"/>
  <c r="AC96" i="36" s="1"/>
  <c r="AD97" i="36"/>
  <c r="AD96" i="36" s="1"/>
  <c r="AF97" i="36"/>
  <c r="AG97" i="36" s="1"/>
  <c r="AH97" i="36" s="1"/>
  <c r="AI97" i="36" s="1"/>
  <c r="AJ97" i="36" s="1"/>
  <c r="AK97" i="36" s="1"/>
  <c r="AL97" i="36" s="1"/>
  <c r="AM97" i="36" s="1"/>
  <c r="AN97" i="36" s="1"/>
  <c r="AO97" i="36" s="1"/>
  <c r="AP97" i="36" s="1"/>
  <c r="AQ97" i="36" s="1"/>
  <c r="T98" i="36"/>
  <c r="W98" i="36"/>
  <c r="Y98" i="36"/>
  <c r="Z98" i="36"/>
  <c r="AC98" i="36"/>
  <c r="AE98" i="36"/>
  <c r="K99" i="36"/>
  <c r="L99" i="36"/>
  <c r="M99" i="36"/>
  <c r="N99" i="36"/>
  <c r="O99" i="36"/>
  <c r="P99" i="36"/>
  <c r="Q99" i="36"/>
  <c r="R99" i="36"/>
  <c r="T99" i="36"/>
  <c r="AF99" i="36" s="1"/>
  <c r="AG99" i="36" s="1"/>
  <c r="AH99" i="36" s="1"/>
  <c r="AI99" i="36" s="1"/>
  <c r="AJ99" i="36" s="1"/>
  <c r="AK99" i="36" s="1"/>
  <c r="AL99" i="36" s="1"/>
  <c r="AM99" i="36" s="1"/>
  <c r="AN99" i="36" s="1"/>
  <c r="AO99" i="36" s="1"/>
  <c r="AP99" i="36" s="1"/>
  <c r="AQ99" i="36" s="1"/>
  <c r="U99" i="36"/>
  <c r="U98" i="36" s="1"/>
  <c r="V99" i="36"/>
  <c r="V98" i="36" s="1"/>
  <c r="W99" i="36"/>
  <c r="X99" i="36"/>
  <c r="X98" i="36" s="1"/>
  <c r="Y99" i="36"/>
  <c r="Z99" i="36"/>
  <c r="AA99" i="36"/>
  <c r="AA98" i="36" s="1"/>
  <c r="AB99" i="36"/>
  <c r="AB98" i="36" s="1"/>
  <c r="AC99" i="36"/>
  <c r="AD99" i="36"/>
  <c r="AD98" i="36" s="1"/>
  <c r="AE99" i="36"/>
  <c r="AA100" i="36"/>
  <c r="AC100" i="36"/>
  <c r="AC109" i="36" s="1"/>
  <c r="AD100" i="36"/>
  <c r="K101" i="36"/>
  <c r="L101" i="36"/>
  <c r="M101" i="36"/>
  <c r="N101" i="36"/>
  <c r="O101" i="36"/>
  <c r="P101" i="36"/>
  <c r="Q101" i="36"/>
  <c r="R101" i="36"/>
  <c r="T101" i="36"/>
  <c r="AF101" i="36" s="1"/>
  <c r="AG101" i="36" s="1"/>
  <c r="AH101" i="36" s="1"/>
  <c r="AI101" i="36" s="1"/>
  <c r="AJ101" i="36" s="1"/>
  <c r="AK101" i="36" s="1"/>
  <c r="AL101" i="36" s="1"/>
  <c r="AM101" i="36" s="1"/>
  <c r="AN101" i="36" s="1"/>
  <c r="AO101" i="36" s="1"/>
  <c r="AP101" i="36" s="1"/>
  <c r="AQ101" i="36" s="1"/>
  <c r="U101" i="36"/>
  <c r="U100" i="36" s="1"/>
  <c r="U109" i="36" s="1"/>
  <c r="V101" i="36"/>
  <c r="V100" i="36" s="1"/>
  <c r="V109" i="36" s="1"/>
  <c r="W101" i="36"/>
  <c r="W100" i="36" s="1"/>
  <c r="W109" i="36" s="1"/>
  <c r="X101" i="36"/>
  <c r="X100" i="36" s="1"/>
  <c r="X109" i="36" s="1"/>
  <c r="Y101" i="36"/>
  <c r="Y100" i="36" s="1"/>
  <c r="Z101" i="36"/>
  <c r="Z100" i="36" s="1"/>
  <c r="Z109" i="36" s="1"/>
  <c r="AA101" i="36"/>
  <c r="AB101" i="36"/>
  <c r="AB100" i="36" s="1"/>
  <c r="AB109" i="36" s="1"/>
  <c r="AC101" i="36"/>
  <c r="AD101" i="36"/>
  <c r="AE101" i="36"/>
  <c r="AE100" i="36" s="1"/>
  <c r="AE109" i="36" s="1"/>
  <c r="T102" i="36"/>
  <c r="AF102" i="36" s="1"/>
  <c r="V102" i="36"/>
  <c r="Y102" i="36"/>
  <c r="AA102" i="36"/>
  <c r="AB102" i="36"/>
  <c r="AD102" i="36"/>
  <c r="K103" i="36"/>
  <c r="L103" i="36"/>
  <c r="M103" i="36"/>
  <c r="N103" i="36"/>
  <c r="O103" i="36"/>
  <c r="P103" i="36"/>
  <c r="Q103" i="36"/>
  <c r="R103" i="36"/>
  <c r="T103" i="36"/>
  <c r="U103" i="36"/>
  <c r="S103" i="36" s="1"/>
  <c r="V103" i="36"/>
  <c r="W103" i="36"/>
  <c r="W102" i="36" s="1"/>
  <c r="X103" i="36"/>
  <c r="X102" i="36" s="1"/>
  <c r="Y103" i="36"/>
  <c r="Z103" i="36"/>
  <c r="Z102" i="36" s="1"/>
  <c r="AA103" i="36"/>
  <c r="AB103" i="36"/>
  <c r="AC103" i="36"/>
  <c r="AC102" i="36" s="1"/>
  <c r="AD103" i="36"/>
  <c r="AE103" i="36"/>
  <c r="AE102" i="36" s="1"/>
  <c r="AF103" i="36"/>
  <c r="AG103" i="36" s="1"/>
  <c r="AH103" i="36" s="1"/>
  <c r="AI103" i="36" s="1"/>
  <c r="AJ103" i="36" s="1"/>
  <c r="AK103" i="36" s="1"/>
  <c r="AL103" i="36" s="1"/>
  <c r="AM103" i="36" s="1"/>
  <c r="AN103" i="36" s="1"/>
  <c r="AO103" i="36" s="1"/>
  <c r="AP103" i="36" s="1"/>
  <c r="AQ103" i="36" s="1"/>
  <c r="T104" i="36"/>
  <c r="AF104" i="36" s="1"/>
  <c r="W104" i="36"/>
  <c r="Y104" i="36"/>
  <c r="Z104" i="36"/>
  <c r="AB104" i="36"/>
  <c r="AE104" i="36"/>
  <c r="K105" i="36"/>
  <c r="L105" i="36"/>
  <c r="M105" i="36"/>
  <c r="N105" i="36"/>
  <c r="O105" i="36"/>
  <c r="P105" i="36"/>
  <c r="Q105" i="36"/>
  <c r="R105" i="36"/>
  <c r="S105" i="36"/>
  <c r="T105" i="36"/>
  <c r="U105" i="36"/>
  <c r="U104" i="36" s="1"/>
  <c r="V105" i="36"/>
  <c r="V104" i="36" s="1"/>
  <c r="W105" i="36"/>
  <c r="X105" i="36"/>
  <c r="X104" i="36" s="1"/>
  <c r="Y105" i="36"/>
  <c r="Z105" i="36"/>
  <c r="AA105" i="36"/>
  <c r="AA104" i="36" s="1"/>
  <c r="AB105" i="36"/>
  <c r="AC105" i="36"/>
  <c r="AC104" i="36" s="1"/>
  <c r="AD105" i="36"/>
  <c r="AD104" i="36" s="1"/>
  <c r="AE105" i="36"/>
  <c r="AF105" i="36"/>
  <c r="AG105" i="36" s="1"/>
  <c r="AH105" i="36" s="1"/>
  <c r="AI105" i="36" s="1"/>
  <c r="AJ105" i="36" s="1"/>
  <c r="AK105" i="36" s="1"/>
  <c r="AL105" i="36" s="1"/>
  <c r="AM105" i="36" s="1"/>
  <c r="AN105" i="36" s="1"/>
  <c r="AO105" i="36" s="1"/>
  <c r="AP105" i="36" s="1"/>
  <c r="AQ105" i="36" s="1"/>
  <c r="S106" i="36"/>
  <c r="AF106" i="36"/>
  <c r="AG106" i="36"/>
  <c r="AH106" i="36" s="1"/>
  <c r="AI106" i="36" s="1"/>
  <c r="AJ106" i="36" s="1"/>
  <c r="AK106" i="36" s="1"/>
  <c r="AL106" i="36" s="1"/>
  <c r="AM106" i="36" s="1"/>
  <c r="AN106" i="36" s="1"/>
  <c r="AO106" i="36" s="1"/>
  <c r="AP106" i="36" s="1"/>
  <c r="AQ106" i="36" s="1"/>
  <c r="S107" i="36"/>
  <c r="AF107" i="36"/>
  <c r="AG107" i="36"/>
  <c r="AH107" i="36" s="1"/>
  <c r="AI107" i="36" s="1"/>
  <c r="AJ107" i="36" s="1"/>
  <c r="AK107" i="36" s="1"/>
  <c r="AL107" i="36" s="1"/>
  <c r="AM107" i="36" s="1"/>
  <c r="AN107" i="36" s="1"/>
  <c r="AO107" i="36" s="1"/>
  <c r="AP107" i="36" s="1"/>
  <c r="AQ107" i="36" s="1"/>
  <c r="S108" i="36"/>
  <c r="AF108" i="36"/>
  <c r="AG108" i="36"/>
  <c r="AH108" i="36" s="1"/>
  <c r="AI108" i="36" s="1"/>
  <c r="AJ108" i="36" s="1"/>
  <c r="AK108" i="36" s="1"/>
  <c r="AL108" i="36" s="1"/>
  <c r="AM108" i="36" s="1"/>
  <c r="AN108" i="36" s="1"/>
  <c r="AO108" i="36" s="1"/>
  <c r="AP108" i="36" s="1"/>
  <c r="AQ108" i="36" s="1"/>
  <c r="Y109" i="36"/>
  <c r="AA109" i="36"/>
  <c r="AD109" i="36"/>
  <c r="S110" i="36"/>
  <c r="AF110" i="36"/>
  <c r="AG110" i="36"/>
  <c r="AH110" i="36" s="1"/>
  <c r="AI110" i="36" s="1"/>
  <c r="AJ110" i="36" s="1"/>
  <c r="AK110" i="36" s="1"/>
  <c r="AL110" i="36" s="1"/>
  <c r="AM110" i="36" s="1"/>
  <c r="AN110" i="36" s="1"/>
  <c r="AO110" i="36" s="1"/>
  <c r="AP110" i="36" s="1"/>
  <c r="AQ110" i="36" s="1"/>
  <c r="S111" i="36"/>
  <c r="AF111" i="36"/>
  <c r="AG111" i="36"/>
  <c r="AH111" i="36" s="1"/>
  <c r="AI111" i="36" s="1"/>
  <c r="AJ111" i="36" s="1"/>
  <c r="AK111" i="36" s="1"/>
  <c r="AL111" i="36" s="1"/>
  <c r="AM111" i="36" s="1"/>
  <c r="AN111" i="36" s="1"/>
  <c r="AO111" i="36" s="1"/>
  <c r="AP111" i="36" s="1"/>
  <c r="AQ111" i="36" s="1"/>
  <c r="S112" i="36"/>
  <c r="AF112" i="36"/>
  <c r="AG112" i="36"/>
  <c r="AH112" i="36" s="1"/>
  <c r="AI112" i="36" s="1"/>
  <c r="AJ112" i="36" s="1"/>
  <c r="AK112" i="36" s="1"/>
  <c r="AL112" i="36" s="1"/>
  <c r="AM112" i="36" s="1"/>
  <c r="AN112" i="36" s="1"/>
  <c r="AO112" i="36" s="1"/>
  <c r="AP112" i="36" s="1"/>
  <c r="AQ112" i="36" s="1"/>
  <c r="S97" i="36" l="1"/>
  <c r="W96" i="36"/>
  <c r="AI96" i="36"/>
  <c r="AJ96" i="36" s="1"/>
  <c r="AK96" i="36" s="1"/>
  <c r="AL96" i="36" s="1"/>
  <c r="AM96" i="36" s="1"/>
  <c r="AN96" i="36" s="1"/>
  <c r="AO96" i="36" s="1"/>
  <c r="AP96" i="36" s="1"/>
  <c r="AQ96" i="36" s="1"/>
  <c r="S96" i="36"/>
  <c r="AG104" i="36"/>
  <c r="AH104" i="36" s="1"/>
  <c r="AI104" i="36" s="1"/>
  <c r="AJ104" i="36" s="1"/>
  <c r="AK104" i="36" s="1"/>
  <c r="AL104" i="36" s="1"/>
  <c r="AM104" i="36" s="1"/>
  <c r="AN104" i="36" s="1"/>
  <c r="AO104" i="36" s="1"/>
  <c r="AP104" i="36" s="1"/>
  <c r="AQ104" i="36" s="1"/>
  <c r="S104" i="36"/>
  <c r="U102" i="36"/>
  <c r="S102" i="36" s="1"/>
  <c r="AG80" i="36"/>
  <c r="AH80" i="36" s="1"/>
  <c r="AI80" i="36" s="1"/>
  <c r="AJ80" i="36" s="1"/>
  <c r="AK80" i="36" s="1"/>
  <c r="AL80" i="36" s="1"/>
  <c r="AM80" i="36" s="1"/>
  <c r="AN80" i="36" s="1"/>
  <c r="AO80" i="36" s="1"/>
  <c r="AP80" i="36" s="1"/>
  <c r="AQ80" i="36" s="1"/>
  <c r="AG64" i="36"/>
  <c r="AH64" i="36" s="1"/>
  <c r="AI64" i="36" s="1"/>
  <c r="AJ64" i="36" s="1"/>
  <c r="AK64" i="36" s="1"/>
  <c r="AL64" i="36" s="1"/>
  <c r="AM64" i="36" s="1"/>
  <c r="AN64" i="36" s="1"/>
  <c r="AO64" i="36" s="1"/>
  <c r="AP64" i="36" s="1"/>
  <c r="AQ64" i="36" s="1"/>
  <c r="AI62" i="36"/>
  <c r="AJ62" i="36" s="1"/>
  <c r="AK62" i="36" s="1"/>
  <c r="AL62" i="36" s="1"/>
  <c r="AM62" i="36" s="1"/>
  <c r="AN62" i="36" s="1"/>
  <c r="AO62" i="36" s="1"/>
  <c r="AP62" i="36" s="1"/>
  <c r="AQ62" i="36" s="1"/>
  <c r="AF54" i="36"/>
  <c r="AG54" i="36" s="1"/>
  <c r="AH54" i="36" s="1"/>
  <c r="AI54" i="36" s="1"/>
  <c r="AJ54" i="36" s="1"/>
  <c r="AK54" i="36" s="1"/>
  <c r="AL54" i="36" s="1"/>
  <c r="AM54" i="36" s="1"/>
  <c r="AN54" i="36" s="1"/>
  <c r="AO54" i="36" s="1"/>
  <c r="AP54" i="36" s="1"/>
  <c r="AQ54" i="36" s="1"/>
  <c r="S54" i="36"/>
  <c r="S64" i="36"/>
  <c r="AF73" i="36"/>
  <c r="AG73" i="36" s="1"/>
  <c r="AH73" i="36" s="1"/>
  <c r="AI73" i="36" s="1"/>
  <c r="AJ73" i="36" s="1"/>
  <c r="AK73" i="36" s="1"/>
  <c r="AL73" i="36" s="1"/>
  <c r="AM73" i="36" s="1"/>
  <c r="AN73" i="36" s="1"/>
  <c r="AO73" i="36" s="1"/>
  <c r="AP73" i="36" s="1"/>
  <c r="AQ73" i="36" s="1"/>
  <c r="S73" i="36"/>
  <c r="T100" i="36"/>
  <c r="S99" i="36"/>
  <c r="S61" i="36"/>
  <c r="S101" i="36"/>
  <c r="S71" i="36"/>
  <c r="AF65" i="36"/>
  <c r="AG65" i="36" s="1"/>
  <c r="AH65" i="36" s="1"/>
  <c r="AI65" i="36" s="1"/>
  <c r="AJ65" i="36" s="1"/>
  <c r="AK65" i="36" s="1"/>
  <c r="AL65" i="36" s="1"/>
  <c r="AM65" i="36" s="1"/>
  <c r="AN65" i="36" s="1"/>
  <c r="AO65" i="36" s="1"/>
  <c r="AP65" i="36" s="1"/>
  <c r="AQ65" i="36" s="1"/>
  <c r="S65" i="36"/>
  <c r="S63" i="36"/>
  <c r="S98" i="36"/>
  <c r="AF75" i="36"/>
  <c r="AG75" i="36" s="1"/>
  <c r="AH75" i="36" s="1"/>
  <c r="AI75" i="36" s="1"/>
  <c r="AJ75" i="36" s="1"/>
  <c r="AK75" i="36" s="1"/>
  <c r="AL75" i="36" s="1"/>
  <c r="AM75" i="36" s="1"/>
  <c r="AN75" i="36" s="1"/>
  <c r="AO75" i="36" s="1"/>
  <c r="AP75" i="36" s="1"/>
  <c r="AQ75" i="36" s="1"/>
  <c r="S75" i="36"/>
  <c r="S62" i="36"/>
  <c r="S80" i="36"/>
  <c r="U79" i="36"/>
  <c r="AF98" i="36"/>
  <c r="AG98" i="36" s="1"/>
  <c r="AH98" i="36" s="1"/>
  <c r="AI98" i="36" s="1"/>
  <c r="AJ98" i="36" s="1"/>
  <c r="AK98" i="36" s="1"/>
  <c r="AL98" i="36" s="1"/>
  <c r="AM98" i="36" s="1"/>
  <c r="AN98" i="36" s="1"/>
  <c r="AO98" i="36" s="1"/>
  <c r="AP98" i="36" s="1"/>
  <c r="AQ98" i="36" s="1"/>
  <c r="AG74" i="36"/>
  <c r="AH74" i="36" s="1"/>
  <c r="AI74" i="36" s="1"/>
  <c r="AJ74" i="36" s="1"/>
  <c r="AK74" i="36" s="1"/>
  <c r="AL74" i="36" s="1"/>
  <c r="AM74" i="36" s="1"/>
  <c r="AN74" i="36" s="1"/>
  <c r="AO74" i="36" s="1"/>
  <c r="AP74" i="36" s="1"/>
  <c r="AQ74" i="36" s="1"/>
  <c r="S72" i="36"/>
  <c r="S67" i="36"/>
  <c r="AI53" i="36"/>
  <c r="AJ53" i="36" s="1"/>
  <c r="AK53" i="36" s="1"/>
  <c r="AL53" i="36" s="1"/>
  <c r="AM53" i="36" s="1"/>
  <c r="AN53" i="36" s="1"/>
  <c r="AO53" i="36" s="1"/>
  <c r="AP53" i="36" s="1"/>
  <c r="AQ53" i="36" s="1"/>
  <c r="S51" i="36"/>
  <c r="S46" i="36"/>
  <c r="T79" i="36"/>
  <c r="S53" i="36"/>
  <c r="AF48" i="36"/>
  <c r="AG48" i="36" s="1"/>
  <c r="AH48" i="36" s="1"/>
  <c r="AI48" i="36" s="1"/>
  <c r="AJ48" i="36" s="1"/>
  <c r="AK48" i="36" s="1"/>
  <c r="AL48" i="36" s="1"/>
  <c r="AM48" i="36" s="1"/>
  <c r="AN48" i="36" s="1"/>
  <c r="AO48" i="36" s="1"/>
  <c r="AP48" i="36" s="1"/>
  <c r="AQ48" i="36" s="1"/>
  <c r="S48" i="36"/>
  <c r="AI45" i="36"/>
  <c r="AJ45" i="36" s="1"/>
  <c r="AK45" i="36" s="1"/>
  <c r="AL45" i="36" s="1"/>
  <c r="AM45" i="36" s="1"/>
  <c r="AN45" i="36" s="1"/>
  <c r="AO45" i="36" s="1"/>
  <c r="AP45" i="36" s="1"/>
  <c r="AQ45" i="36" s="1"/>
  <c r="S52" i="36"/>
  <c r="AF40" i="36"/>
  <c r="AG40" i="36" s="1"/>
  <c r="AH40" i="36" s="1"/>
  <c r="AI40" i="36" s="1"/>
  <c r="AJ40" i="36" s="1"/>
  <c r="AK40" i="36" s="1"/>
  <c r="AL40" i="36" s="1"/>
  <c r="AM40" i="36" s="1"/>
  <c r="AN40" i="36" s="1"/>
  <c r="AO40" i="36" s="1"/>
  <c r="AP40" i="36" s="1"/>
  <c r="AQ40" i="36" s="1"/>
  <c r="S40" i="36"/>
  <c r="AF46" i="36"/>
  <c r="AG46" i="36" s="1"/>
  <c r="AH46" i="36" s="1"/>
  <c r="AI46" i="36" s="1"/>
  <c r="AJ46" i="36" s="1"/>
  <c r="AK46" i="36" s="1"/>
  <c r="AL46" i="36" s="1"/>
  <c r="AM46" i="36" s="1"/>
  <c r="AN46" i="36" s="1"/>
  <c r="AO46" i="36" s="1"/>
  <c r="AP46" i="36" s="1"/>
  <c r="AQ46" i="36" s="1"/>
  <c r="AF38" i="36"/>
  <c r="AG38" i="36" s="1"/>
  <c r="AH38" i="36" s="1"/>
  <c r="AI38" i="36" s="1"/>
  <c r="AJ38" i="36" s="1"/>
  <c r="AK38" i="36" s="1"/>
  <c r="AL38" i="36" s="1"/>
  <c r="AM38" i="36" s="1"/>
  <c r="AN38" i="36" s="1"/>
  <c r="AO38" i="36" s="1"/>
  <c r="AP38" i="36" s="1"/>
  <c r="AQ38" i="36" s="1"/>
  <c r="S32" i="36"/>
  <c r="S24" i="36"/>
  <c r="S16" i="36"/>
  <c r="S47" i="36"/>
  <c r="S39" i="36"/>
  <c r="S31" i="36"/>
  <c r="S30" i="36"/>
  <c r="S22" i="36"/>
  <c r="AF79" i="36" l="1"/>
  <c r="AG79" i="36" s="1"/>
  <c r="AH79" i="36" s="1"/>
  <c r="AI79" i="36" s="1"/>
  <c r="AJ79" i="36" s="1"/>
  <c r="AK79" i="36" s="1"/>
  <c r="AL79" i="36" s="1"/>
  <c r="AM79" i="36" s="1"/>
  <c r="AN79" i="36" s="1"/>
  <c r="AO79" i="36" s="1"/>
  <c r="AP79" i="36" s="1"/>
  <c r="AQ79" i="36" s="1"/>
  <c r="S79" i="36"/>
  <c r="AG102" i="36"/>
  <c r="AH102" i="36" s="1"/>
  <c r="AI102" i="36" s="1"/>
  <c r="AJ102" i="36" s="1"/>
  <c r="AK102" i="36" s="1"/>
  <c r="AL102" i="36" s="1"/>
  <c r="AM102" i="36" s="1"/>
  <c r="AN102" i="36" s="1"/>
  <c r="AO102" i="36" s="1"/>
  <c r="AP102" i="36" s="1"/>
  <c r="AQ102" i="36" s="1"/>
  <c r="T109" i="36"/>
  <c r="AF100" i="36"/>
  <c r="AG100" i="36" s="1"/>
  <c r="AH100" i="36" s="1"/>
  <c r="AI100" i="36" s="1"/>
  <c r="AJ100" i="36" s="1"/>
  <c r="AK100" i="36" s="1"/>
  <c r="AL100" i="36" s="1"/>
  <c r="AM100" i="36" s="1"/>
  <c r="AN100" i="36" s="1"/>
  <c r="AO100" i="36" s="1"/>
  <c r="AP100" i="36" s="1"/>
  <c r="AQ100" i="36" s="1"/>
  <c r="S100" i="36"/>
  <c r="AF109" i="36" l="1"/>
  <c r="AG109" i="36" s="1"/>
  <c r="AH109" i="36" s="1"/>
  <c r="AI109" i="36" s="1"/>
  <c r="AJ109" i="36" s="1"/>
  <c r="AK109" i="36" s="1"/>
  <c r="AL109" i="36" s="1"/>
  <c r="AM109" i="36" s="1"/>
  <c r="AN109" i="36" s="1"/>
  <c r="AO109" i="36" s="1"/>
  <c r="AP109" i="36" s="1"/>
  <c r="AQ109" i="36" s="1"/>
  <c r="S109" i="36"/>
  <c r="W18" i="1" l="1"/>
  <c r="W8" i="1"/>
  <c r="W9" i="1"/>
  <c r="W10" i="1"/>
  <c r="W11" i="1"/>
  <c r="W12" i="1"/>
  <c r="W13" i="1"/>
  <c r="W14" i="1"/>
  <c r="W15" i="1"/>
  <c r="W16" i="1"/>
  <c r="W17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6" i="1"/>
  <c r="W88" i="1"/>
  <c r="W89" i="1"/>
  <c r="W90" i="1"/>
  <c r="W92" i="1"/>
  <c r="W93" i="1"/>
  <c r="W94" i="1"/>
  <c r="W95" i="1"/>
  <c r="W96" i="1"/>
  <c r="W97" i="1"/>
  <c r="W98" i="1"/>
  <c r="W99" i="1"/>
  <c r="W100" i="1"/>
  <c r="W101" i="1"/>
  <c r="W102" i="1"/>
  <c r="W104" i="1"/>
  <c r="W105" i="1"/>
  <c r="W106" i="1"/>
  <c r="W107" i="1"/>
  <c r="W108" i="1"/>
  <c r="W109" i="1"/>
  <c r="W110" i="1"/>
  <c r="W111" i="1"/>
  <c r="W3" i="1"/>
  <c r="W4" i="1"/>
  <c r="W5" i="1"/>
  <c r="W6" i="1"/>
  <c r="W7" i="1"/>
  <c r="G97" i="1" l="1"/>
  <c r="S99" i="1"/>
  <c r="X99" i="1"/>
  <c r="F99" i="1"/>
  <c r="C99" i="1"/>
  <c r="C110" i="36"/>
  <c r="R99" i="1" l="1"/>
  <c r="H99" i="1"/>
  <c r="I99" i="1" s="1"/>
  <c r="G111" i="1" l="1"/>
  <c r="E109" i="36"/>
  <c r="F8" i="1" l="1"/>
  <c r="H8" i="1" s="1"/>
  <c r="I8" i="1" s="1"/>
  <c r="G100" i="1"/>
  <c r="G102" i="1"/>
  <c r="G98" i="1"/>
  <c r="G106" i="1"/>
  <c r="G95" i="1"/>
  <c r="G94" i="1"/>
  <c r="G93" i="1"/>
  <c r="G90" i="1"/>
  <c r="G89" i="1"/>
  <c r="G88" i="1"/>
  <c r="G81" i="1"/>
  <c r="G80" i="1"/>
  <c r="G78" i="1"/>
  <c r="G77" i="1"/>
  <c r="E112" i="36"/>
  <c r="E111" i="36"/>
  <c r="E102" i="36"/>
  <c r="H97" i="36" l="1"/>
  <c r="I97" i="36"/>
  <c r="J97" i="36"/>
  <c r="H99" i="36"/>
  <c r="I99" i="36"/>
  <c r="J99" i="36"/>
  <c r="H101" i="36"/>
  <c r="I101" i="36"/>
  <c r="J101" i="36"/>
  <c r="H103" i="36"/>
  <c r="I103" i="36"/>
  <c r="J103" i="36"/>
  <c r="H105" i="36"/>
  <c r="I105" i="36"/>
  <c r="J105" i="36"/>
  <c r="G105" i="36"/>
  <c r="G103" i="36"/>
  <c r="G101" i="36"/>
  <c r="G99" i="36"/>
  <c r="G97" i="36"/>
  <c r="F76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F75" i="36"/>
  <c r="F61" i="36"/>
  <c r="F60" i="36"/>
  <c r="H80" i="36"/>
  <c r="I80" i="36"/>
  <c r="J80" i="36"/>
  <c r="G80" i="36"/>
  <c r="F52" i="36"/>
  <c r="F53" i="36"/>
  <c r="F54" i="36"/>
  <c r="F55" i="36"/>
  <c r="F56" i="36"/>
  <c r="F57" i="36"/>
  <c r="F58" i="36"/>
  <c r="C111" i="36" l="1"/>
  <c r="C112" i="36"/>
  <c r="C95" i="36"/>
  <c r="C94" i="36"/>
  <c r="C93" i="36"/>
  <c r="O69" i="1"/>
  <c r="O62" i="1"/>
  <c r="O64" i="1"/>
  <c r="O65" i="1" s="1"/>
  <c r="O58" i="1"/>
  <c r="O55" i="1"/>
  <c r="O48" i="1"/>
  <c r="O38" i="1"/>
  <c r="O37" i="1"/>
  <c r="O51" i="1"/>
  <c r="O52" i="1" s="1"/>
  <c r="O59" i="1"/>
  <c r="O44" i="1"/>
  <c r="O49" i="1"/>
  <c r="O31" i="1"/>
  <c r="O29" i="1"/>
  <c r="O30" i="1" s="1"/>
  <c r="O32" i="1"/>
  <c r="O33" i="1" s="1"/>
  <c r="O26" i="1"/>
  <c r="O25" i="1"/>
  <c r="O19" i="1"/>
  <c r="O20" i="1" s="1"/>
  <c r="O21" i="1" s="1"/>
  <c r="O11" i="1"/>
  <c r="S109" i="1"/>
  <c r="S98" i="1"/>
  <c r="S101" i="1"/>
  <c r="S104" i="1"/>
  <c r="S105" i="1"/>
  <c r="S110" i="1"/>
  <c r="S102" i="1"/>
  <c r="S100" i="1"/>
  <c r="S107" i="1"/>
  <c r="S108" i="1"/>
  <c r="S111" i="1"/>
  <c r="S97" i="1"/>
  <c r="S106" i="1"/>
  <c r="S96" i="1"/>
  <c r="S90" i="1"/>
  <c r="S81" i="1"/>
  <c r="S82" i="1"/>
  <c r="S83" i="1"/>
  <c r="S78" i="1"/>
  <c r="S40" i="1"/>
  <c r="S53" i="1"/>
  <c r="S76" i="1"/>
  <c r="S79" i="1"/>
  <c r="O5" i="1"/>
  <c r="O4" i="1"/>
  <c r="O3" i="1"/>
  <c r="O67" i="1" l="1"/>
  <c r="O70" i="1"/>
  <c r="O71" i="1"/>
  <c r="R53" i="1"/>
  <c r="R61" i="1"/>
  <c r="X82" i="1" l="1"/>
  <c r="F82" i="1"/>
  <c r="C82" i="1"/>
  <c r="X83" i="1"/>
  <c r="F83" i="1"/>
  <c r="C83" i="1"/>
  <c r="X100" i="1"/>
  <c r="X111" i="1"/>
  <c r="F100" i="1"/>
  <c r="H100" i="1" s="1"/>
  <c r="F111" i="1"/>
  <c r="H111" i="1" s="1"/>
  <c r="C111" i="1"/>
  <c r="C100" i="1"/>
  <c r="X93" i="1"/>
  <c r="O93" i="1"/>
  <c r="S93" i="1" s="1"/>
  <c r="F93" i="1"/>
  <c r="C93" i="1"/>
  <c r="X94" i="1"/>
  <c r="O94" i="1"/>
  <c r="S94" i="1" s="1"/>
  <c r="F94" i="1"/>
  <c r="C94" i="1"/>
  <c r="O86" i="1"/>
  <c r="S86" i="1" s="1"/>
  <c r="O95" i="1"/>
  <c r="S95" i="1" s="1"/>
  <c r="O89" i="1"/>
  <c r="S89" i="1" s="1"/>
  <c r="O88" i="1"/>
  <c r="S88" i="1" s="1"/>
  <c r="O92" i="1"/>
  <c r="S92" i="1" s="1"/>
  <c r="O80" i="1"/>
  <c r="S80" i="1" s="1"/>
  <c r="O74" i="1"/>
  <c r="O72" i="1"/>
  <c r="X80" i="1"/>
  <c r="F80" i="1"/>
  <c r="C80" i="1"/>
  <c r="H94" i="1" l="1"/>
  <c r="I94" i="1" s="1"/>
  <c r="H93" i="1"/>
  <c r="I93" i="1" s="1"/>
  <c r="H82" i="1"/>
  <c r="I82" i="1" s="1"/>
  <c r="H80" i="1"/>
  <c r="I80" i="1" s="1"/>
  <c r="H83" i="1"/>
  <c r="I83" i="1" s="1"/>
  <c r="R82" i="1"/>
  <c r="R94" i="1"/>
  <c r="R93" i="1"/>
  <c r="R80" i="1"/>
  <c r="R111" i="1"/>
  <c r="I111" i="1"/>
  <c r="R100" i="1"/>
  <c r="I100" i="1"/>
  <c r="R83" i="1"/>
  <c r="C89" i="36" l="1"/>
  <c r="C88" i="36"/>
  <c r="X105" i="1"/>
  <c r="X107" i="1"/>
  <c r="X108" i="1"/>
  <c r="F105" i="1"/>
  <c r="H105" i="1" s="1"/>
  <c r="F108" i="1"/>
  <c r="H108" i="1" s="1"/>
  <c r="C105" i="1"/>
  <c r="C107" i="1"/>
  <c r="C108" i="1"/>
  <c r="C84" i="36"/>
  <c r="X78" i="1"/>
  <c r="X81" i="1"/>
  <c r="X86" i="1"/>
  <c r="F78" i="1"/>
  <c r="F81" i="1"/>
  <c r="F86" i="1"/>
  <c r="C59" i="36"/>
  <c r="X102" i="1"/>
  <c r="F102" i="1"/>
  <c r="H102" i="1" s="1"/>
  <c r="C102" i="1"/>
  <c r="X3" i="1"/>
  <c r="X4" i="1"/>
  <c r="X5" i="1"/>
  <c r="X7" i="1"/>
  <c r="X9" i="1"/>
  <c r="X8" i="1"/>
  <c r="X12" i="1"/>
  <c r="X18" i="1"/>
  <c r="X16" i="1"/>
  <c r="X23" i="1"/>
  <c r="X25" i="1"/>
  <c r="X26" i="1"/>
  <c r="X20" i="1"/>
  <c r="X27" i="1"/>
  <c r="X28" i="1"/>
  <c r="X29" i="1"/>
  <c r="X30" i="1"/>
  <c r="X31" i="1"/>
  <c r="X36" i="1"/>
  <c r="X37" i="1"/>
  <c r="X34" i="1"/>
  <c r="X38" i="1"/>
  <c r="X33" i="1"/>
  <c r="X35" i="1"/>
  <c r="X32" i="1"/>
  <c r="X40" i="1"/>
  <c r="X19" i="1"/>
  <c r="X42" i="1"/>
  <c r="X41" i="1"/>
  <c r="X43" i="1"/>
  <c r="X45" i="1"/>
  <c r="X46" i="1"/>
  <c r="X44" i="1"/>
  <c r="X49" i="1"/>
  <c r="X47" i="1"/>
  <c r="X48" i="1"/>
  <c r="X50" i="1"/>
  <c r="X51" i="1"/>
  <c r="X54" i="1"/>
  <c r="X53" i="1"/>
  <c r="X52" i="1"/>
  <c r="X55" i="1"/>
  <c r="X56" i="1"/>
  <c r="X59" i="1"/>
  <c r="X64" i="1"/>
  <c r="X61" i="1"/>
  <c r="X60" i="1"/>
  <c r="X65" i="1"/>
  <c r="X68" i="1"/>
  <c r="X66" i="1"/>
  <c r="X70" i="1"/>
  <c r="X71" i="1"/>
  <c r="X72" i="1"/>
  <c r="X73" i="1"/>
  <c r="X74" i="1"/>
  <c r="X76" i="1"/>
  <c r="X69" i="1"/>
  <c r="X101" i="1"/>
  <c r="X79" i="1"/>
  <c r="P75" i="1"/>
  <c r="Q75" i="1"/>
  <c r="S75" i="1"/>
  <c r="T75" i="1"/>
  <c r="U75" i="1"/>
  <c r="V75" i="1"/>
  <c r="X109" i="1"/>
  <c r="X110" i="1"/>
  <c r="X97" i="1"/>
  <c r="X104" i="1"/>
  <c r="X39" i="1"/>
  <c r="X15" i="1"/>
  <c r="X14" i="1"/>
  <c r="X13" i="1"/>
  <c r="X21" i="1"/>
  <c r="X24" i="1"/>
  <c r="X22" i="1"/>
  <c r="X10" i="1"/>
  <c r="X11" i="1"/>
  <c r="X6" i="1"/>
  <c r="X17" i="1"/>
  <c r="X57" i="1"/>
  <c r="X58" i="1"/>
  <c r="X63" i="1"/>
  <c r="X62" i="1"/>
  <c r="X92" i="1"/>
  <c r="P87" i="1"/>
  <c r="Q87" i="1"/>
  <c r="S87" i="1"/>
  <c r="T87" i="1"/>
  <c r="U87" i="1"/>
  <c r="V87" i="1"/>
  <c r="X88" i="1"/>
  <c r="P84" i="1"/>
  <c r="Q84" i="1"/>
  <c r="S84" i="1"/>
  <c r="T84" i="1"/>
  <c r="U84" i="1"/>
  <c r="V84" i="1"/>
  <c r="X89" i="1"/>
  <c r="P85" i="1"/>
  <c r="Q85" i="1"/>
  <c r="S85" i="1"/>
  <c r="T85" i="1"/>
  <c r="U85" i="1"/>
  <c r="V85" i="1"/>
  <c r="X96" i="1"/>
  <c r="P91" i="1"/>
  <c r="Q91" i="1"/>
  <c r="S91" i="1"/>
  <c r="T91" i="1"/>
  <c r="U91" i="1"/>
  <c r="V91" i="1"/>
  <c r="X106" i="1"/>
  <c r="P103" i="1"/>
  <c r="Q103" i="1"/>
  <c r="S103" i="1"/>
  <c r="T103" i="1"/>
  <c r="U103" i="1"/>
  <c r="V103" i="1"/>
  <c r="X67" i="1"/>
  <c r="X98" i="1"/>
  <c r="X77" i="1"/>
  <c r="X95" i="1"/>
  <c r="X90" i="1"/>
  <c r="U3" i="36"/>
  <c r="AG3" i="36" s="1"/>
  <c r="V3" i="36"/>
  <c r="AH3" i="36" s="1"/>
  <c r="W3" i="36"/>
  <c r="AI3" i="36" s="1"/>
  <c r="X3" i="36"/>
  <c r="AJ3" i="36" s="1"/>
  <c r="Y3" i="36"/>
  <c r="AK3" i="36" s="1"/>
  <c r="Z3" i="36"/>
  <c r="AL3" i="36" s="1"/>
  <c r="AA3" i="36"/>
  <c r="AM3" i="36" s="1"/>
  <c r="AB3" i="36"/>
  <c r="AN3" i="36" s="1"/>
  <c r="AC3" i="36"/>
  <c r="AO3" i="36" s="1"/>
  <c r="AD3" i="36"/>
  <c r="AP3" i="36" s="1"/>
  <c r="AE3" i="36"/>
  <c r="AQ3" i="36" s="1"/>
  <c r="T3" i="36"/>
  <c r="AF3" i="36" s="1"/>
  <c r="D1" i="36"/>
  <c r="E1" i="36" s="1"/>
  <c r="F1" i="36" s="1"/>
  <c r="G1" i="36" s="1"/>
  <c r="H1" i="36" s="1"/>
  <c r="I1" i="36" s="1"/>
  <c r="J1" i="36" s="1"/>
  <c r="K1" i="36" s="1"/>
  <c r="L1" i="36" s="1"/>
  <c r="M1" i="36" s="1"/>
  <c r="N1" i="36" s="1"/>
  <c r="O1" i="36" s="1"/>
  <c r="P1" i="36" s="1"/>
  <c r="Q1" i="36" s="1"/>
  <c r="R1" i="36" s="1"/>
  <c r="S1" i="36" s="1"/>
  <c r="T1" i="36" s="1"/>
  <c r="U1" i="36" s="1"/>
  <c r="V1" i="36" s="1"/>
  <c r="W1" i="36" s="1"/>
  <c r="X1" i="36" s="1"/>
  <c r="Y1" i="36" s="1"/>
  <c r="Z1" i="36" s="1"/>
  <c r="AA1" i="36" s="1"/>
  <c r="AB1" i="36" s="1"/>
  <c r="AC1" i="36" s="1"/>
  <c r="AD1" i="36" s="1"/>
  <c r="AE1" i="36" s="1"/>
  <c r="AF1" i="36" s="1"/>
  <c r="C109" i="36"/>
  <c r="C108" i="36"/>
  <c r="C107" i="36"/>
  <c r="C106" i="36"/>
  <c r="C76" i="36"/>
  <c r="C105" i="36"/>
  <c r="C104" i="36"/>
  <c r="C103" i="36"/>
  <c r="C102" i="36"/>
  <c r="C101" i="36"/>
  <c r="C100" i="36"/>
  <c r="C99" i="36"/>
  <c r="C98" i="36"/>
  <c r="C97" i="36"/>
  <c r="C96" i="36"/>
  <c r="C74" i="36"/>
  <c r="C73" i="36"/>
  <c r="C72" i="36"/>
  <c r="C71" i="36"/>
  <c r="C70" i="36"/>
  <c r="C69" i="36"/>
  <c r="C68" i="36"/>
  <c r="C67" i="36"/>
  <c r="C66" i="36"/>
  <c r="C65" i="36"/>
  <c r="C64" i="36"/>
  <c r="C63" i="36"/>
  <c r="C62" i="36"/>
  <c r="C61" i="36"/>
  <c r="C87" i="36"/>
  <c r="C86" i="36"/>
  <c r="C85" i="36"/>
  <c r="C83" i="36"/>
  <c r="C82" i="36"/>
  <c r="C81" i="36"/>
  <c r="C80" i="36"/>
  <c r="C79" i="36"/>
  <c r="C78" i="36"/>
  <c r="C60" i="36"/>
  <c r="C77" i="36"/>
  <c r="C58" i="36"/>
  <c r="C57" i="36"/>
  <c r="C55" i="36"/>
  <c r="C54" i="36"/>
  <c r="C53" i="36"/>
  <c r="C52" i="36"/>
  <c r="C51" i="36"/>
  <c r="C50" i="36"/>
  <c r="C47" i="36"/>
  <c r="C46" i="36"/>
  <c r="C45" i="36"/>
  <c r="C44" i="36"/>
  <c r="C43" i="36"/>
  <c r="C42" i="36"/>
  <c r="C39" i="36"/>
  <c r="C38" i="36"/>
  <c r="C37" i="36"/>
  <c r="C36" i="36"/>
  <c r="C34" i="36"/>
  <c r="C31" i="36"/>
  <c r="C30" i="36"/>
  <c r="C29" i="36"/>
  <c r="C26" i="36"/>
  <c r="C23" i="36"/>
  <c r="C22" i="36"/>
  <c r="C20" i="36"/>
  <c r="C16" i="36"/>
  <c r="C12" i="36"/>
  <c r="C10" i="36"/>
  <c r="C8" i="36"/>
  <c r="C6" i="36"/>
  <c r="C5" i="36"/>
  <c r="C4" i="36"/>
  <c r="F40" i="36"/>
  <c r="F4" i="36"/>
  <c r="F8" i="36"/>
  <c r="F10" i="36"/>
  <c r="F11" i="36"/>
  <c r="F12" i="36"/>
  <c r="F16" i="36"/>
  <c r="F20" i="36"/>
  <c r="F22" i="36"/>
  <c r="F23" i="36"/>
  <c r="F26" i="36"/>
  <c r="F29" i="36"/>
  <c r="F30" i="36"/>
  <c r="F31" i="36"/>
  <c r="F32" i="36"/>
  <c r="F33" i="36"/>
  <c r="F34" i="36"/>
  <c r="F39" i="36"/>
  <c r="F42" i="36"/>
  <c r="F43" i="36"/>
  <c r="F44" i="36"/>
  <c r="F45" i="36"/>
  <c r="F48" i="36"/>
  <c r="F49" i="36"/>
  <c r="F50" i="36"/>
  <c r="F51" i="36"/>
  <c r="F35" i="36"/>
  <c r="F41" i="36"/>
  <c r="F7" i="36"/>
  <c r="F9" i="36"/>
  <c r="F37" i="36"/>
  <c r="F38" i="36"/>
  <c r="C75" i="1"/>
  <c r="C1" i="1"/>
  <c r="D1" i="1" s="1"/>
  <c r="F9" i="1"/>
  <c r="R8" i="1"/>
  <c r="F12" i="1"/>
  <c r="H12" i="1" s="1"/>
  <c r="F18" i="1"/>
  <c r="H18" i="1" s="1"/>
  <c r="F16" i="1"/>
  <c r="H16" i="1" s="1"/>
  <c r="F23" i="1"/>
  <c r="H23" i="1" s="1"/>
  <c r="F25" i="1"/>
  <c r="H25" i="1" s="1"/>
  <c r="F26" i="1"/>
  <c r="H26" i="1" s="1"/>
  <c r="F20" i="1"/>
  <c r="H20" i="1" s="1"/>
  <c r="F27" i="1"/>
  <c r="H27" i="1" s="1"/>
  <c r="F28" i="1"/>
  <c r="H28" i="1" s="1"/>
  <c r="F29" i="1"/>
  <c r="H29" i="1" s="1"/>
  <c r="F30" i="1"/>
  <c r="H30" i="1" s="1"/>
  <c r="F31" i="1"/>
  <c r="H31" i="1" s="1"/>
  <c r="F36" i="1"/>
  <c r="H36" i="1" s="1"/>
  <c r="F37" i="1"/>
  <c r="H37" i="1" s="1"/>
  <c r="F34" i="1"/>
  <c r="H34" i="1" s="1"/>
  <c r="F38" i="1"/>
  <c r="H38" i="1" s="1"/>
  <c r="F33" i="1"/>
  <c r="H33" i="1" s="1"/>
  <c r="F35" i="1"/>
  <c r="H35" i="1" s="1"/>
  <c r="F32" i="1"/>
  <c r="H32" i="1" s="1"/>
  <c r="F40" i="1"/>
  <c r="H40" i="1" s="1"/>
  <c r="F19" i="1"/>
  <c r="H19" i="1" s="1"/>
  <c r="F42" i="1"/>
  <c r="H42" i="1" s="1"/>
  <c r="F41" i="1"/>
  <c r="H41" i="1" s="1"/>
  <c r="F43" i="1"/>
  <c r="H43" i="1" s="1"/>
  <c r="F45" i="1"/>
  <c r="H45" i="1" s="1"/>
  <c r="F46" i="1"/>
  <c r="H46" i="1" s="1"/>
  <c r="F44" i="1"/>
  <c r="H44" i="1" s="1"/>
  <c r="F49" i="1"/>
  <c r="H49" i="1" s="1"/>
  <c r="F47" i="1"/>
  <c r="H47" i="1" s="1"/>
  <c r="F48" i="1"/>
  <c r="H48" i="1" s="1"/>
  <c r="F50" i="1"/>
  <c r="H50" i="1" s="1"/>
  <c r="F51" i="1"/>
  <c r="H51" i="1" s="1"/>
  <c r="F54" i="1"/>
  <c r="H54" i="1" s="1"/>
  <c r="F53" i="1"/>
  <c r="F52" i="1"/>
  <c r="H52" i="1" s="1"/>
  <c r="F55" i="1"/>
  <c r="H55" i="1" s="1"/>
  <c r="F56" i="1"/>
  <c r="H56" i="1" s="1"/>
  <c r="F59" i="1"/>
  <c r="H59" i="1" s="1"/>
  <c r="F64" i="1"/>
  <c r="H64" i="1" s="1"/>
  <c r="F61" i="1"/>
  <c r="F60" i="1"/>
  <c r="H60" i="1" s="1"/>
  <c r="F65" i="1"/>
  <c r="H65" i="1" s="1"/>
  <c r="F68" i="1"/>
  <c r="H68" i="1" s="1"/>
  <c r="F66" i="1"/>
  <c r="H66" i="1" s="1"/>
  <c r="F70" i="1"/>
  <c r="F71" i="1"/>
  <c r="F72" i="1"/>
  <c r="F73" i="1"/>
  <c r="F74" i="1"/>
  <c r="F76" i="1"/>
  <c r="F69" i="1"/>
  <c r="H69" i="1" s="1"/>
  <c r="F101" i="1"/>
  <c r="H101" i="1" s="1"/>
  <c r="F79" i="1"/>
  <c r="F109" i="1"/>
  <c r="H109" i="1" s="1"/>
  <c r="F110" i="1"/>
  <c r="H110" i="1" s="1"/>
  <c r="F97" i="1"/>
  <c r="F104" i="1"/>
  <c r="H104" i="1" s="1"/>
  <c r="F107" i="1"/>
  <c r="H107" i="1" s="1"/>
  <c r="F39" i="1"/>
  <c r="H39" i="1" s="1"/>
  <c r="F15" i="1"/>
  <c r="H15" i="1" s="1"/>
  <c r="F14" i="1"/>
  <c r="H14" i="1" s="1"/>
  <c r="F13" i="1"/>
  <c r="H13" i="1" s="1"/>
  <c r="F21" i="1"/>
  <c r="H21" i="1" s="1"/>
  <c r="F24" i="1"/>
  <c r="H24" i="1" s="1"/>
  <c r="F22" i="1"/>
  <c r="H22" i="1" s="1"/>
  <c r="F10" i="1"/>
  <c r="H10" i="1" s="1"/>
  <c r="F11" i="1"/>
  <c r="H11" i="1" s="1"/>
  <c r="F6" i="1"/>
  <c r="F17" i="1"/>
  <c r="H17" i="1" s="1"/>
  <c r="F57" i="1"/>
  <c r="H57" i="1" s="1"/>
  <c r="F58" i="1"/>
  <c r="H58" i="1" s="1"/>
  <c r="F63" i="1"/>
  <c r="H63" i="1" s="1"/>
  <c r="F62" i="1"/>
  <c r="H62" i="1" s="1"/>
  <c r="F92" i="1"/>
  <c r="H92" i="1" s="1"/>
  <c r="F88" i="1"/>
  <c r="H88" i="1" s="1"/>
  <c r="F89" i="1"/>
  <c r="H89" i="1" s="1"/>
  <c r="F96" i="1"/>
  <c r="F106" i="1"/>
  <c r="H106" i="1" s="1"/>
  <c r="F67" i="1"/>
  <c r="F98" i="1"/>
  <c r="F77" i="1"/>
  <c r="F95" i="1"/>
  <c r="F90" i="1"/>
  <c r="H90" i="1" s="1"/>
  <c r="F3" i="1"/>
  <c r="F4" i="1"/>
  <c r="H4" i="1" s="1"/>
  <c r="I4" i="1" s="1"/>
  <c r="F5" i="1"/>
  <c r="F7" i="1"/>
  <c r="C56" i="1"/>
  <c r="C59" i="1"/>
  <c r="C49" i="1"/>
  <c r="C47" i="1"/>
  <c r="C44" i="1"/>
  <c r="C55" i="1"/>
  <c r="C19" i="1"/>
  <c r="C42" i="1"/>
  <c r="C45" i="1"/>
  <c r="C48" i="1"/>
  <c r="C54" i="1"/>
  <c r="C53" i="1"/>
  <c r="C52" i="1"/>
  <c r="C60" i="1"/>
  <c r="C65" i="1"/>
  <c r="C68" i="1"/>
  <c r="C66" i="1"/>
  <c r="C70" i="1"/>
  <c r="C71" i="1"/>
  <c r="C73" i="1"/>
  <c r="C74" i="1"/>
  <c r="C76" i="1"/>
  <c r="C69" i="1"/>
  <c r="C101" i="1"/>
  <c r="C79" i="1"/>
  <c r="C109" i="1"/>
  <c r="C110" i="1"/>
  <c r="C97" i="1"/>
  <c r="C104" i="1"/>
  <c r="C39" i="1"/>
  <c r="C15" i="1"/>
  <c r="C14" i="1"/>
  <c r="C13" i="1"/>
  <c r="C21" i="1"/>
  <c r="C24" i="1"/>
  <c r="C22" i="1"/>
  <c r="C10" i="1"/>
  <c r="C11" i="1"/>
  <c r="C6" i="1"/>
  <c r="C17" i="1"/>
  <c r="C57" i="1"/>
  <c r="C58" i="1"/>
  <c r="C63" i="1"/>
  <c r="C92" i="1"/>
  <c r="C87" i="1"/>
  <c r="C88" i="1"/>
  <c r="C84" i="1"/>
  <c r="C89" i="1"/>
  <c r="C85" i="1"/>
  <c r="C96" i="1"/>
  <c r="C91" i="1"/>
  <c r="C106" i="1"/>
  <c r="C103" i="1"/>
  <c r="C67" i="1"/>
  <c r="C98" i="1"/>
  <c r="C77" i="1"/>
  <c r="C95" i="1"/>
  <c r="C90" i="1"/>
  <c r="C40" i="1"/>
  <c r="C37" i="1"/>
  <c r="C33" i="1"/>
  <c r="C36" i="1"/>
  <c r="C30" i="1"/>
  <c r="C20" i="1"/>
  <c r="C16" i="1"/>
  <c r="C4" i="1"/>
  <c r="C5" i="1"/>
  <c r="C3" i="1"/>
  <c r="C12" i="1"/>
  <c r="C9" i="1"/>
  <c r="J99" i="1" l="1"/>
  <c r="K99" i="1" s="1"/>
  <c r="L99" i="1"/>
  <c r="L98" i="1"/>
  <c r="L110" i="1"/>
  <c r="L86" i="1"/>
  <c r="L72" i="1"/>
  <c r="L78" i="1"/>
  <c r="L81" i="1"/>
  <c r="L80" i="1"/>
  <c r="L111" i="1"/>
  <c r="L83" i="1"/>
  <c r="L100" i="1"/>
  <c r="L90" i="1"/>
  <c r="L96" i="1"/>
  <c r="L88" i="1"/>
  <c r="L76" i="1"/>
  <c r="L108" i="1"/>
  <c r="L95" i="1"/>
  <c r="L104" i="1"/>
  <c r="L74" i="1"/>
  <c r="L93" i="1"/>
  <c r="L107" i="1"/>
  <c r="L109" i="1"/>
  <c r="L77" i="1"/>
  <c r="L106" i="1"/>
  <c r="L89" i="1"/>
  <c r="L92" i="1"/>
  <c r="L101" i="1"/>
  <c r="L105" i="1"/>
  <c r="H98" i="1"/>
  <c r="I98" i="1" s="1"/>
  <c r="H97" i="1"/>
  <c r="I97" i="1" s="1"/>
  <c r="H95" i="1"/>
  <c r="I95" i="1" s="1"/>
  <c r="H96" i="1"/>
  <c r="I96" i="1" s="1"/>
  <c r="H76" i="1"/>
  <c r="I76" i="1" s="1"/>
  <c r="H71" i="1"/>
  <c r="I71" i="1" s="1"/>
  <c r="H77" i="1"/>
  <c r="I77" i="1" s="1"/>
  <c r="H79" i="1"/>
  <c r="I79" i="1" s="1"/>
  <c r="H74" i="1"/>
  <c r="I74" i="1" s="1"/>
  <c r="H70" i="1"/>
  <c r="I70" i="1" s="1"/>
  <c r="H86" i="1"/>
  <c r="I86" i="1" s="1"/>
  <c r="I92" i="1"/>
  <c r="I89" i="1"/>
  <c r="H73" i="1"/>
  <c r="I73" i="1" s="1"/>
  <c r="H81" i="1"/>
  <c r="I81" i="1" s="1"/>
  <c r="I90" i="1"/>
  <c r="H67" i="1"/>
  <c r="I67" i="1" s="1"/>
  <c r="I88" i="1"/>
  <c r="H72" i="1"/>
  <c r="I72" i="1" s="1"/>
  <c r="H78" i="1"/>
  <c r="I78" i="1" s="1"/>
  <c r="H53" i="1"/>
  <c r="I53" i="1" s="1"/>
  <c r="H61" i="1"/>
  <c r="I61" i="1" s="1"/>
  <c r="L94" i="1"/>
  <c r="R5" i="1"/>
  <c r="H5" i="1"/>
  <c r="I5" i="1" s="1"/>
  <c r="R95" i="1"/>
  <c r="R106" i="1"/>
  <c r="I106" i="1"/>
  <c r="R92" i="1"/>
  <c r="R57" i="1"/>
  <c r="I57" i="1"/>
  <c r="R10" i="1"/>
  <c r="I10" i="1"/>
  <c r="R13" i="1"/>
  <c r="I13" i="1"/>
  <c r="R107" i="1"/>
  <c r="I107" i="1"/>
  <c r="R109" i="1"/>
  <c r="I109" i="1"/>
  <c r="R76" i="1"/>
  <c r="R71" i="1"/>
  <c r="R65" i="1"/>
  <c r="I65" i="1"/>
  <c r="R59" i="1"/>
  <c r="I59" i="1"/>
  <c r="R48" i="1"/>
  <c r="I48" i="1"/>
  <c r="R46" i="1"/>
  <c r="I46" i="1"/>
  <c r="R42" i="1"/>
  <c r="I42" i="1"/>
  <c r="R35" i="1"/>
  <c r="I35" i="1"/>
  <c r="R37" i="1"/>
  <c r="I37" i="1"/>
  <c r="R29" i="1"/>
  <c r="I29" i="1"/>
  <c r="R26" i="1"/>
  <c r="I26" i="1"/>
  <c r="R18" i="1"/>
  <c r="I18" i="1"/>
  <c r="R108" i="1"/>
  <c r="I108" i="1"/>
  <c r="R105" i="1"/>
  <c r="I105" i="1"/>
  <c r="R3" i="1"/>
  <c r="H3" i="1"/>
  <c r="I3" i="1" s="1"/>
  <c r="R98" i="1"/>
  <c r="R89" i="1"/>
  <c r="R63" i="1"/>
  <c r="I63" i="1"/>
  <c r="R6" i="1"/>
  <c r="H6" i="1"/>
  <c r="I6" i="1" s="1"/>
  <c r="R24" i="1"/>
  <c r="I24" i="1"/>
  <c r="R15" i="1"/>
  <c r="I15" i="1"/>
  <c r="R97" i="1"/>
  <c r="R101" i="1"/>
  <c r="I101" i="1"/>
  <c r="R73" i="1"/>
  <c r="R66" i="1"/>
  <c r="I66" i="1"/>
  <c r="R55" i="1"/>
  <c r="I55" i="1"/>
  <c r="R51" i="1"/>
  <c r="I51" i="1"/>
  <c r="R49" i="1"/>
  <c r="I49" i="1"/>
  <c r="R43" i="1"/>
  <c r="I43" i="1"/>
  <c r="R40" i="1"/>
  <c r="I40" i="1"/>
  <c r="R38" i="1"/>
  <c r="I38" i="1"/>
  <c r="R31" i="1"/>
  <c r="I31" i="1"/>
  <c r="R27" i="1"/>
  <c r="I27" i="1"/>
  <c r="R23" i="1"/>
  <c r="I23" i="1"/>
  <c r="R102" i="1"/>
  <c r="I102" i="1"/>
  <c r="R81" i="1"/>
  <c r="R77" i="1"/>
  <c r="R96" i="1"/>
  <c r="R62" i="1"/>
  <c r="I62" i="1"/>
  <c r="R17" i="1"/>
  <c r="I17" i="1"/>
  <c r="R22" i="1"/>
  <c r="I22" i="1"/>
  <c r="R14" i="1"/>
  <c r="I14" i="1"/>
  <c r="R104" i="1"/>
  <c r="I104" i="1"/>
  <c r="R79" i="1"/>
  <c r="R74" i="1"/>
  <c r="R70" i="1"/>
  <c r="R60" i="1"/>
  <c r="I60" i="1"/>
  <c r="R56" i="1"/>
  <c r="I56" i="1"/>
  <c r="R54" i="1"/>
  <c r="I54" i="1"/>
  <c r="R47" i="1"/>
  <c r="I47" i="1"/>
  <c r="R45" i="1"/>
  <c r="I45" i="1"/>
  <c r="R19" i="1"/>
  <c r="I19" i="1"/>
  <c r="R33" i="1"/>
  <c r="I33" i="1"/>
  <c r="R36" i="1"/>
  <c r="I36" i="1"/>
  <c r="R28" i="1"/>
  <c r="I28" i="1"/>
  <c r="R25" i="1"/>
  <c r="I25" i="1"/>
  <c r="R12" i="1"/>
  <c r="I12" i="1"/>
  <c r="R86" i="1"/>
  <c r="R7" i="1"/>
  <c r="H7" i="1"/>
  <c r="I7" i="1" s="1"/>
  <c r="R90" i="1"/>
  <c r="R67" i="1"/>
  <c r="R88" i="1"/>
  <c r="R58" i="1"/>
  <c r="I58" i="1"/>
  <c r="R11" i="1"/>
  <c r="I11" i="1"/>
  <c r="R21" i="1"/>
  <c r="I21" i="1"/>
  <c r="R39" i="1"/>
  <c r="I39" i="1"/>
  <c r="R110" i="1"/>
  <c r="I110" i="1"/>
  <c r="R69" i="1"/>
  <c r="I69" i="1"/>
  <c r="R72" i="1"/>
  <c r="R68" i="1"/>
  <c r="I68" i="1"/>
  <c r="R64" i="1"/>
  <c r="I64" i="1"/>
  <c r="R52" i="1"/>
  <c r="I52" i="1"/>
  <c r="R50" i="1"/>
  <c r="I50" i="1"/>
  <c r="R44" i="1"/>
  <c r="I44" i="1"/>
  <c r="R41" i="1"/>
  <c r="I41" i="1"/>
  <c r="R32" i="1"/>
  <c r="I32" i="1"/>
  <c r="R34" i="1"/>
  <c r="I34" i="1"/>
  <c r="R30" i="1"/>
  <c r="I30" i="1"/>
  <c r="R20" i="1"/>
  <c r="I20" i="1"/>
  <c r="R16" i="1"/>
  <c r="I16" i="1"/>
  <c r="R9" i="1"/>
  <c r="H9" i="1"/>
  <c r="I9" i="1" s="1"/>
  <c r="R78" i="1"/>
  <c r="J90" i="1"/>
  <c r="J96" i="1"/>
  <c r="J88" i="1"/>
  <c r="J109" i="1"/>
  <c r="J95" i="1"/>
  <c r="J100" i="1"/>
  <c r="K100" i="1" s="1"/>
  <c r="J93" i="1"/>
  <c r="K93" i="1" s="1"/>
  <c r="J111" i="1"/>
  <c r="K111" i="1" s="1"/>
  <c r="J94" i="1"/>
  <c r="K94" i="1" s="1"/>
  <c r="J92" i="1"/>
  <c r="J108" i="1"/>
  <c r="J107" i="1"/>
  <c r="L21" i="1"/>
  <c r="E1" i="1"/>
  <c r="D75" i="1"/>
  <c r="D103" i="1"/>
  <c r="X75" i="1"/>
  <c r="D91" i="1"/>
  <c r="D84" i="1"/>
  <c r="AG1" i="36"/>
  <c r="D87" i="1"/>
  <c r="D85" i="1"/>
  <c r="J105" i="1"/>
  <c r="J104" i="1"/>
  <c r="L70" i="1"/>
  <c r="J89" i="1"/>
  <c r="J97" i="1"/>
  <c r="J98" i="1"/>
  <c r="J106" i="1"/>
  <c r="R4" i="1"/>
  <c r="E91" i="1" l="1"/>
  <c r="F91" i="1" s="1"/>
  <c r="E85" i="1"/>
  <c r="W85" i="1" s="1"/>
  <c r="E84" i="1"/>
  <c r="W84" i="1" s="1"/>
  <c r="E87" i="1"/>
  <c r="E103" i="1"/>
  <c r="U99" i="1"/>
  <c r="M99" i="1"/>
  <c r="Q99" i="1" s="1"/>
  <c r="P99" i="1"/>
  <c r="T99" i="1"/>
  <c r="K109" i="1"/>
  <c r="P109" i="1" s="1"/>
  <c r="K89" i="1"/>
  <c r="T89" i="1" s="1"/>
  <c r="K95" i="1"/>
  <c r="P95" i="1" s="1"/>
  <c r="K98" i="1"/>
  <c r="P98" i="1" s="1"/>
  <c r="K97" i="1"/>
  <c r="P97" i="1" s="1"/>
  <c r="K96" i="1"/>
  <c r="P96" i="1" s="1"/>
  <c r="K106" i="1"/>
  <c r="T106" i="1" s="1"/>
  <c r="K105" i="1"/>
  <c r="P105" i="1" s="1"/>
  <c r="K90" i="1"/>
  <c r="P90" i="1" s="1"/>
  <c r="K88" i="1"/>
  <c r="P88" i="1" s="1"/>
  <c r="K107" i="1"/>
  <c r="P107" i="1" s="1"/>
  <c r="K104" i="1"/>
  <c r="P104" i="1" s="1"/>
  <c r="K108" i="1"/>
  <c r="P108" i="1" s="1"/>
  <c r="K92" i="1"/>
  <c r="P92" i="1" s="1"/>
  <c r="L9" i="1"/>
  <c r="T93" i="1"/>
  <c r="P93" i="1"/>
  <c r="P94" i="1"/>
  <c r="T94" i="1"/>
  <c r="P111" i="1"/>
  <c r="T111" i="1"/>
  <c r="P100" i="1"/>
  <c r="T100" i="1"/>
  <c r="F75" i="1"/>
  <c r="F1" i="1"/>
  <c r="G1" i="1" s="1"/>
  <c r="L71" i="1"/>
  <c r="AH1" i="36"/>
  <c r="W103" i="1" l="1"/>
  <c r="X103" i="1" s="1"/>
  <c r="L103" i="1"/>
  <c r="F103" i="1"/>
  <c r="W87" i="1"/>
  <c r="X87" i="1" s="1"/>
  <c r="F87" i="1"/>
  <c r="H1" i="1"/>
  <c r="I1" i="1" s="1"/>
  <c r="G75" i="1"/>
  <c r="H75" i="1" s="1"/>
  <c r="I75" i="1" s="1"/>
  <c r="G103" i="1"/>
  <c r="D105" i="36" s="1" a="1"/>
  <c r="D105" i="36" s="1"/>
  <c r="G87" i="1"/>
  <c r="G85" i="1"/>
  <c r="D101" i="36" s="1" a="1"/>
  <c r="D101" i="36" s="1"/>
  <c r="G91" i="1"/>
  <c r="H91" i="1" s="1"/>
  <c r="I91" i="1" s="1"/>
  <c r="G84" i="1"/>
  <c r="D60" i="36" a="1"/>
  <c r="D60" i="36" s="1"/>
  <c r="E60" i="36" s="1"/>
  <c r="J69" i="1" s="1"/>
  <c r="D93" i="36" a="1"/>
  <c r="D93" i="36" s="1"/>
  <c r="F93" i="36" s="1"/>
  <c r="D22" i="36" a="1"/>
  <c r="D22" i="36" s="1"/>
  <c r="D65" i="36" a="1"/>
  <c r="D65" i="36" s="1"/>
  <c r="E65" i="36" s="1"/>
  <c r="J21" i="1" s="1"/>
  <c r="D5" i="36" a="1"/>
  <c r="D5" i="36" s="1"/>
  <c r="D50" i="36" a="1"/>
  <c r="D50" i="36" s="1"/>
  <c r="D33" i="36" a="1"/>
  <c r="D33" i="36" s="1"/>
  <c r="D95" i="36" a="1"/>
  <c r="D95" i="36" s="1"/>
  <c r="F95" i="36" s="1"/>
  <c r="D94" i="36" a="1"/>
  <c r="D94" i="36" s="1"/>
  <c r="F94" i="36" s="1"/>
  <c r="D90" i="36" a="1"/>
  <c r="D90" i="36" s="1"/>
  <c r="D53" i="36" a="1"/>
  <c r="D53" i="36" s="1"/>
  <c r="E53" i="36" s="1"/>
  <c r="J66" i="1" s="1"/>
  <c r="D15" i="36" a="1"/>
  <c r="D15" i="36" s="1"/>
  <c r="D8" i="36" a="1"/>
  <c r="D8" i="36" s="1"/>
  <c r="E8" i="36" s="1"/>
  <c r="J9" i="1" s="1"/>
  <c r="S9" i="1" s="1"/>
  <c r="D52" i="36" a="1"/>
  <c r="D52" i="36" s="1"/>
  <c r="E52" i="36" s="1"/>
  <c r="J68" i="1" s="1"/>
  <c r="D85" i="36" a="1"/>
  <c r="D85" i="36" s="1"/>
  <c r="E85" i="36" s="1"/>
  <c r="D14" i="36" a="1"/>
  <c r="D14" i="36" s="1"/>
  <c r="D100" i="36" a="1"/>
  <c r="D100" i="36" s="1"/>
  <c r="F100" i="36" s="1"/>
  <c r="D39" i="36" a="1"/>
  <c r="D39" i="36" s="1"/>
  <c r="D12" i="36" a="1"/>
  <c r="D12" i="36" s="1"/>
  <c r="E12" i="36" s="1"/>
  <c r="J16" i="1" s="1"/>
  <c r="S16" i="1" s="1"/>
  <c r="D71" i="36" a="1"/>
  <c r="D71" i="36" s="1"/>
  <c r="E71" i="36" s="1"/>
  <c r="D86" i="36" a="1"/>
  <c r="D86" i="36" s="1"/>
  <c r="F86" i="36" s="1"/>
  <c r="D89" i="36" a="1"/>
  <c r="D89" i="36" s="1"/>
  <c r="F89" i="36" s="1"/>
  <c r="D108" i="36" a="1"/>
  <c r="D108" i="36" s="1"/>
  <c r="F108" i="36" s="1"/>
  <c r="D45" i="36" a="1"/>
  <c r="D45" i="36" s="1"/>
  <c r="D84" i="36" a="1"/>
  <c r="D84" i="36" s="1"/>
  <c r="E84" i="36" s="1"/>
  <c r="D47" i="36" a="1"/>
  <c r="D47" i="36" s="1"/>
  <c r="D20" i="36" a="1"/>
  <c r="D20" i="36" s="1"/>
  <c r="D64" i="36" a="1"/>
  <c r="D64" i="36" s="1"/>
  <c r="E64" i="36" s="1"/>
  <c r="D98" i="36" a="1"/>
  <c r="D98" i="36" s="1"/>
  <c r="F98" i="36" s="1"/>
  <c r="D26" i="36" a="1"/>
  <c r="D26" i="36" s="1"/>
  <c r="D70" i="36" a="1"/>
  <c r="D70" i="36" s="1"/>
  <c r="E70" i="36" s="1"/>
  <c r="D11" i="36" a="1"/>
  <c r="D11" i="36" s="1"/>
  <c r="E11" i="36" s="1"/>
  <c r="J18" i="1" s="1"/>
  <c r="S18" i="1" s="1"/>
  <c r="D55" i="36" a="1"/>
  <c r="D55" i="36" s="1"/>
  <c r="D35" i="36" a="1"/>
  <c r="D35" i="36" s="1"/>
  <c r="D112" i="36" a="1"/>
  <c r="D112" i="36" s="1"/>
  <c r="F112" i="36" s="1"/>
  <c r="D102" i="36" a="1"/>
  <c r="D102" i="36" s="1"/>
  <c r="F102" i="36" s="1"/>
  <c r="D104" i="36" a="1"/>
  <c r="D104" i="36" s="1"/>
  <c r="F104" i="36" s="1"/>
  <c r="D58" i="36" a="1"/>
  <c r="D58" i="36" s="1"/>
  <c r="D107" i="36" a="1"/>
  <c r="D107" i="36" s="1"/>
  <c r="D36" i="36" a="1"/>
  <c r="D36" i="36" s="1"/>
  <c r="D106" i="36" a="1"/>
  <c r="D106" i="36" s="1"/>
  <c r="F106" i="36" s="1"/>
  <c r="D75" i="36" a="1"/>
  <c r="D75" i="36" s="1"/>
  <c r="E75" i="36" s="1"/>
  <c r="J62" i="1" s="1"/>
  <c r="D41" i="36" a="1"/>
  <c r="D41" i="36" s="1"/>
  <c r="D7" i="36" a="1"/>
  <c r="D7" i="36" s="1"/>
  <c r="E7" i="36" s="1"/>
  <c r="J7" i="1" s="1"/>
  <c r="S7" i="1" s="1"/>
  <c r="D4" i="36" a="1"/>
  <c r="D4" i="36" s="1"/>
  <c r="E4" i="36" s="1"/>
  <c r="J3" i="1" s="1"/>
  <c r="D92" i="36" a="1"/>
  <c r="D92" i="36" s="1"/>
  <c r="E92" i="36" s="1"/>
  <c r="D57" i="36" a="1"/>
  <c r="D57" i="36" s="1"/>
  <c r="D99" i="36" a="1"/>
  <c r="D99" i="36" s="1"/>
  <c r="D54" i="36" a="1"/>
  <c r="D54" i="36" s="1"/>
  <c r="E54" i="36" s="1"/>
  <c r="J70" i="1" s="1"/>
  <c r="D73" i="36" a="1"/>
  <c r="D73" i="36" s="1"/>
  <c r="E73" i="36" s="1"/>
  <c r="J58" i="1" s="1"/>
  <c r="D67" i="36" a="1"/>
  <c r="D67" i="36" s="1"/>
  <c r="E67" i="36" s="1"/>
  <c r="J22" i="1" s="1"/>
  <c r="D42" i="36" a="1"/>
  <c r="D42" i="36" s="1"/>
  <c r="D31" i="36" a="1"/>
  <c r="D31" i="36" s="1"/>
  <c r="D68" i="36" a="1"/>
  <c r="D68" i="36" s="1"/>
  <c r="E68" i="36" s="1"/>
  <c r="D30" i="36" a="1"/>
  <c r="D30" i="36" s="1"/>
  <c r="D16" i="36" a="1"/>
  <c r="D16" i="36" s="1"/>
  <c r="D66" i="36" a="1"/>
  <c r="D66" i="36" s="1"/>
  <c r="E66" i="36" s="1"/>
  <c r="J24" i="1" s="1"/>
  <c r="D13" i="36" a="1"/>
  <c r="D13" i="36" s="1"/>
  <c r="D63" i="36" a="1"/>
  <c r="D63" i="36" s="1"/>
  <c r="E63" i="36" s="1"/>
  <c r="J14" i="1" s="1"/>
  <c r="D97" i="36" a="1"/>
  <c r="D97" i="36" s="1"/>
  <c r="D48" i="36" a="1"/>
  <c r="D48" i="36" s="1"/>
  <c r="D10" i="36" a="1"/>
  <c r="D10" i="36" s="1"/>
  <c r="E10" i="36" s="1"/>
  <c r="J12" i="1" s="1"/>
  <c r="S12" i="1" s="1"/>
  <c r="D49" i="36" a="1"/>
  <c r="D49" i="36" s="1"/>
  <c r="D62" i="36" a="1"/>
  <c r="D62" i="36" s="1"/>
  <c r="E62" i="36" s="1"/>
  <c r="J15" i="1" s="1"/>
  <c r="D37" i="36" a="1"/>
  <c r="D37" i="36" s="1"/>
  <c r="D9" i="36" a="1"/>
  <c r="D9" i="36" s="1"/>
  <c r="E9" i="36" s="1"/>
  <c r="D18" i="36" a="1"/>
  <c r="D18" i="36" s="1"/>
  <c r="D83" i="36" a="1"/>
  <c r="D83" i="36" s="1"/>
  <c r="D40" i="36" a="1"/>
  <c r="D40" i="36" s="1"/>
  <c r="D72" i="36" a="1"/>
  <c r="D72" i="36" s="1"/>
  <c r="E72" i="36" s="1"/>
  <c r="J57" i="1" s="1"/>
  <c r="D111" i="36" a="1"/>
  <c r="D111" i="36" s="1"/>
  <c r="F111" i="36" s="1"/>
  <c r="D38" i="36" a="1"/>
  <c r="D38" i="36" s="1"/>
  <c r="D82" i="36" a="1"/>
  <c r="D82" i="36" s="1"/>
  <c r="D21" i="36" a="1"/>
  <c r="D21" i="36" s="1"/>
  <c r="D77" i="36" a="1"/>
  <c r="D77" i="36" s="1"/>
  <c r="D46" i="36" a="1"/>
  <c r="D46" i="36" s="1"/>
  <c r="D29" i="36" a="1"/>
  <c r="D29" i="36" s="1"/>
  <c r="D17" i="36" a="1"/>
  <c r="D17" i="36" s="1"/>
  <c r="D19" i="36" a="1"/>
  <c r="D19" i="36" s="1"/>
  <c r="D69" i="36" a="1"/>
  <c r="D69" i="36" s="1"/>
  <c r="E69" i="36" s="1"/>
  <c r="D25" i="36" a="1"/>
  <c r="D25" i="36" s="1"/>
  <c r="D44" i="36" a="1"/>
  <c r="D44" i="36" s="1"/>
  <c r="D6" i="36" a="1"/>
  <c r="D6" i="36" s="1"/>
  <c r="E6" i="36" s="1"/>
  <c r="J5" i="1" s="1"/>
  <c r="S5" i="1" s="1"/>
  <c r="D43" i="36" a="1"/>
  <c r="D43" i="36" s="1"/>
  <c r="D87" i="36" a="1"/>
  <c r="D87" i="36" s="1"/>
  <c r="F87" i="36" s="1"/>
  <c r="D27" i="36" a="1"/>
  <c r="D27" i="36" s="1"/>
  <c r="D51" i="36" a="1"/>
  <c r="D51" i="36" s="1"/>
  <c r="D34" i="36" a="1"/>
  <c r="D34" i="36" s="1"/>
  <c r="D24" i="36" a="1"/>
  <c r="D24" i="36" s="1"/>
  <c r="D74" i="36" a="1"/>
  <c r="D74" i="36" s="1"/>
  <c r="E74" i="36" s="1"/>
  <c r="J63" i="1" s="1"/>
  <c r="D109" i="36" a="1"/>
  <c r="D109" i="36" s="1"/>
  <c r="F109" i="36" s="1"/>
  <c r="D110" i="36" a="1"/>
  <c r="D110" i="36" s="1"/>
  <c r="F110" i="36" s="1"/>
  <c r="D59" i="36" a="1"/>
  <c r="D59" i="36" s="1"/>
  <c r="D78" i="36" a="1"/>
  <c r="D78" i="36" s="1"/>
  <c r="D96" i="36" a="1"/>
  <c r="D96" i="36" s="1"/>
  <c r="F96" i="36" s="1"/>
  <c r="D76" i="36" a="1"/>
  <c r="D76" i="36" s="1"/>
  <c r="E76" i="36" s="1"/>
  <c r="J67" i="1" s="1"/>
  <c r="D88" i="36" a="1"/>
  <c r="D88" i="36" s="1"/>
  <c r="F88" i="36" s="1"/>
  <c r="D28" i="36" a="1"/>
  <c r="D28" i="36" s="1"/>
  <c r="D91" i="36" a="1"/>
  <c r="D91" i="36" s="1"/>
  <c r="D81" i="36" a="1"/>
  <c r="D81" i="36" s="1"/>
  <c r="F81" i="36" s="1"/>
  <c r="D32" i="36" a="1"/>
  <c r="D32" i="36" s="1"/>
  <c r="D61" i="36" a="1"/>
  <c r="D61" i="36" s="1"/>
  <c r="E61" i="36" s="1"/>
  <c r="J39" i="1" s="1"/>
  <c r="D79" i="36" a="1"/>
  <c r="D79" i="36" s="1"/>
  <c r="D23" i="36" a="1"/>
  <c r="D23" i="36" s="1"/>
  <c r="D56" i="36" a="1"/>
  <c r="D56" i="36" s="1"/>
  <c r="E56" i="36" s="1"/>
  <c r="J72" i="1" s="1"/>
  <c r="W91" i="1"/>
  <c r="X91" i="1" s="1"/>
  <c r="L91" i="1"/>
  <c r="V99" i="1"/>
  <c r="T109" i="1"/>
  <c r="T95" i="1"/>
  <c r="P89" i="1"/>
  <c r="L73" i="1"/>
  <c r="T98" i="1"/>
  <c r="T97" i="1"/>
  <c r="T96" i="1"/>
  <c r="P106" i="1"/>
  <c r="T105" i="1"/>
  <c r="T88" i="1"/>
  <c r="T90" i="1"/>
  <c r="T107" i="1"/>
  <c r="T104" i="1"/>
  <c r="T92" i="1"/>
  <c r="T108" i="1"/>
  <c r="R75" i="1"/>
  <c r="R91" i="1"/>
  <c r="L50" i="1"/>
  <c r="F84" i="1"/>
  <c r="X84" i="1"/>
  <c r="J1" i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E58" i="36"/>
  <c r="J74" i="1" s="1"/>
  <c r="X85" i="1"/>
  <c r="F85" i="1"/>
  <c r="H85" i="1" s="1"/>
  <c r="L16" i="1"/>
  <c r="L30" i="1"/>
  <c r="AI1" i="36"/>
  <c r="L51" i="1"/>
  <c r="L39" i="1"/>
  <c r="O59" i="36" l="1"/>
  <c r="P59" i="36"/>
  <c r="Q59" i="36"/>
  <c r="R59" i="36"/>
  <c r="K59" i="36"/>
  <c r="L59" i="36"/>
  <c r="M59" i="36"/>
  <c r="N59" i="36"/>
  <c r="S3" i="1"/>
  <c r="K3" i="1"/>
  <c r="D103" i="36" a="1"/>
  <c r="D103" i="36" s="1"/>
  <c r="D80" i="36" a="1"/>
  <c r="D80" i="36" s="1"/>
  <c r="H84" i="1"/>
  <c r="I84" i="1" s="1"/>
  <c r="H87" i="1"/>
  <c r="I87" i="1" s="1"/>
  <c r="R87" i="1"/>
  <c r="H103" i="1"/>
  <c r="I103" i="1" s="1"/>
  <c r="R103" i="1"/>
  <c r="L79" i="1"/>
  <c r="I85" i="1"/>
  <c r="E83" i="36"/>
  <c r="J110" i="1" s="1"/>
  <c r="K110" i="1" s="1"/>
  <c r="J83" i="1"/>
  <c r="K83" i="1" s="1"/>
  <c r="J82" i="1"/>
  <c r="K82" i="1" s="1"/>
  <c r="E78" i="36"/>
  <c r="J101" i="1" s="1"/>
  <c r="K101" i="1" s="1"/>
  <c r="E79" i="36"/>
  <c r="J79" i="1" s="1"/>
  <c r="K79" i="1" s="1"/>
  <c r="E77" i="36"/>
  <c r="J76" i="1" s="1"/>
  <c r="K76" i="1" s="1"/>
  <c r="J86" i="1"/>
  <c r="K86" i="1" s="1"/>
  <c r="E91" i="36"/>
  <c r="J81" i="1" s="1"/>
  <c r="K81" i="1" s="1"/>
  <c r="E107" i="36"/>
  <c r="J77" i="1" s="1"/>
  <c r="K77" i="1" s="1"/>
  <c r="O77" i="1" s="1"/>
  <c r="E82" i="36"/>
  <c r="J80" i="1" s="1"/>
  <c r="K80" i="1" s="1"/>
  <c r="S67" i="1"/>
  <c r="K67" i="1"/>
  <c r="S21" i="1"/>
  <c r="K21" i="1"/>
  <c r="S58" i="1"/>
  <c r="K58" i="1"/>
  <c r="P58" i="1" s="1"/>
  <c r="S57" i="1"/>
  <c r="K57" i="1"/>
  <c r="P57" i="1" s="1"/>
  <c r="E101" i="36"/>
  <c r="J85" i="1" s="1"/>
  <c r="J10" i="1"/>
  <c r="S14" i="1"/>
  <c r="K14" i="1"/>
  <c r="P14" i="1" s="1"/>
  <c r="E99" i="36"/>
  <c r="J84" i="1" s="1"/>
  <c r="J11" i="1"/>
  <c r="E105" i="36"/>
  <c r="J103" i="1" s="1"/>
  <c r="J17" i="1"/>
  <c r="K24" i="1"/>
  <c r="P24" i="1" s="1"/>
  <c r="S24" i="1"/>
  <c r="S22" i="1"/>
  <c r="K22" i="1"/>
  <c r="P22" i="1" s="1"/>
  <c r="E97" i="36"/>
  <c r="J87" i="1" s="1"/>
  <c r="J6" i="1"/>
  <c r="S15" i="1"/>
  <c r="K15" i="1"/>
  <c r="P15" i="1" s="1"/>
  <c r="E103" i="36"/>
  <c r="J91" i="1" s="1"/>
  <c r="K91" i="1" s="1"/>
  <c r="J13" i="1"/>
  <c r="K62" i="1"/>
  <c r="P62" i="1" s="1"/>
  <c r="S62" i="1"/>
  <c r="S63" i="1"/>
  <c r="K63" i="1"/>
  <c r="P63" i="1" s="1"/>
  <c r="K39" i="1"/>
  <c r="P39" i="1" s="1"/>
  <c r="S39" i="1"/>
  <c r="S69" i="1"/>
  <c r="K69" i="1"/>
  <c r="P69" i="1" s="1"/>
  <c r="E32" i="36"/>
  <c r="J41" i="1" s="1"/>
  <c r="E55" i="36"/>
  <c r="J71" i="1" s="1"/>
  <c r="E39" i="36"/>
  <c r="J48" i="1" s="1"/>
  <c r="E35" i="36"/>
  <c r="J46" i="1" s="1"/>
  <c r="S74" i="1"/>
  <c r="K74" i="1"/>
  <c r="P74" i="1" s="1"/>
  <c r="E34" i="36"/>
  <c r="J45" i="1" s="1"/>
  <c r="E30" i="36"/>
  <c r="J19" i="1" s="1"/>
  <c r="E41" i="36"/>
  <c r="J51" i="1" s="1"/>
  <c r="S66" i="1"/>
  <c r="K66" i="1"/>
  <c r="P66" i="1" s="1"/>
  <c r="E23" i="36"/>
  <c r="J37" i="1" s="1"/>
  <c r="S72" i="1"/>
  <c r="K72" i="1"/>
  <c r="E45" i="36"/>
  <c r="J55" i="1" s="1"/>
  <c r="E29" i="36"/>
  <c r="J40" i="1" s="1"/>
  <c r="K40" i="1" s="1"/>
  <c r="E40" i="36"/>
  <c r="J50" i="1" s="1"/>
  <c r="E16" i="36"/>
  <c r="J20" i="1" s="1"/>
  <c r="E42" i="36"/>
  <c r="J54" i="1" s="1"/>
  <c r="E51" i="36"/>
  <c r="J65" i="1" s="1"/>
  <c r="S65" i="1" s="1"/>
  <c r="E43" i="36"/>
  <c r="J53" i="1" s="1"/>
  <c r="K53" i="1" s="1"/>
  <c r="E57" i="36"/>
  <c r="J73" i="1" s="1"/>
  <c r="K73" i="1" s="1"/>
  <c r="O73" i="1" s="1"/>
  <c r="E48" i="36"/>
  <c r="J64" i="1" s="1"/>
  <c r="E31" i="36"/>
  <c r="J42" i="1" s="1"/>
  <c r="E26" i="36"/>
  <c r="J33" i="1" s="1"/>
  <c r="S70" i="1"/>
  <c r="K70" i="1"/>
  <c r="E37" i="36"/>
  <c r="J49" i="1" s="1"/>
  <c r="E38" i="36"/>
  <c r="J47" i="1" s="1"/>
  <c r="S47" i="1" s="1"/>
  <c r="E20" i="36"/>
  <c r="J30" i="1" s="1"/>
  <c r="E22" i="36"/>
  <c r="J36" i="1" s="1"/>
  <c r="K68" i="1"/>
  <c r="P68" i="1" s="1"/>
  <c r="S68" i="1"/>
  <c r="E49" i="36"/>
  <c r="J61" i="1" s="1"/>
  <c r="S61" i="1" s="1"/>
  <c r="E33" i="36"/>
  <c r="J43" i="1" s="1"/>
  <c r="E50" i="36"/>
  <c r="J60" i="1" s="1"/>
  <c r="S60" i="1" s="1"/>
  <c r="E44" i="36"/>
  <c r="J52" i="1" s="1"/>
  <c r="J8" i="1"/>
  <c r="S8" i="1" s="1"/>
  <c r="E80" i="36"/>
  <c r="J75" i="1" s="1"/>
  <c r="K75" i="1" s="1"/>
  <c r="H59" i="36"/>
  <c r="I59" i="36"/>
  <c r="J59" i="36"/>
  <c r="G59" i="36"/>
  <c r="E90" i="36"/>
  <c r="J78" i="1" s="1"/>
  <c r="K78" i="1" s="1"/>
  <c r="K18" i="1"/>
  <c r="P18" i="1" s="1"/>
  <c r="K7" i="1"/>
  <c r="P7" i="1" s="1"/>
  <c r="K9" i="1"/>
  <c r="K5" i="1"/>
  <c r="P5" i="1" s="1"/>
  <c r="R85" i="1"/>
  <c r="K16" i="1"/>
  <c r="P16" i="1" s="1"/>
  <c r="K12" i="1"/>
  <c r="P12" i="1" s="1"/>
  <c r="R84" i="1"/>
  <c r="AJ1" i="36"/>
  <c r="L33" i="1"/>
  <c r="L17" i="1"/>
  <c r="L52" i="1"/>
  <c r="K103" i="1" l="1"/>
  <c r="K87" i="1"/>
  <c r="F105" i="36"/>
  <c r="P3" i="1"/>
  <c r="K84" i="1"/>
  <c r="K85" i="1"/>
  <c r="M39" i="1"/>
  <c r="V39" i="1" s="1"/>
  <c r="T110" i="1"/>
  <c r="P110" i="1"/>
  <c r="F83" i="36"/>
  <c r="P83" i="1"/>
  <c r="T83" i="1"/>
  <c r="F85" i="36"/>
  <c r="P82" i="1"/>
  <c r="T82" i="1"/>
  <c r="F84" i="36"/>
  <c r="P101" i="1"/>
  <c r="T101" i="1"/>
  <c r="F78" i="36"/>
  <c r="T79" i="1"/>
  <c r="P79" i="1"/>
  <c r="F79" i="36"/>
  <c r="T76" i="1"/>
  <c r="P76" i="1"/>
  <c r="F77" i="36"/>
  <c r="P86" i="1"/>
  <c r="T86" i="1"/>
  <c r="F92" i="36"/>
  <c r="P81" i="1"/>
  <c r="T81" i="1"/>
  <c r="F91" i="36"/>
  <c r="F101" i="36"/>
  <c r="F103" i="36"/>
  <c r="F97" i="36"/>
  <c r="S77" i="1"/>
  <c r="T77" i="1" s="1"/>
  <c r="P77" i="1"/>
  <c r="F107" i="36"/>
  <c r="T80" i="1"/>
  <c r="P80" i="1"/>
  <c r="F82" i="36"/>
  <c r="T58" i="1"/>
  <c r="F99" i="36"/>
  <c r="T22" i="1"/>
  <c r="T14" i="1"/>
  <c r="T57" i="1"/>
  <c r="T21" i="1"/>
  <c r="T24" i="1"/>
  <c r="U39" i="1"/>
  <c r="T62" i="1"/>
  <c r="T67" i="1"/>
  <c r="P67" i="1"/>
  <c r="T63" i="1"/>
  <c r="T15" i="1"/>
  <c r="S17" i="1"/>
  <c r="K17" i="1"/>
  <c r="P17" i="1" s="1"/>
  <c r="T39" i="1"/>
  <c r="S13" i="1"/>
  <c r="K13" i="1"/>
  <c r="P13" i="1" s="1"/>
  <c r="S6" i="1"/>
  <c r="K6" i="1"/>
  <c r="S11" i="1"/>
  <c r="K11" i="1"/>
  <c r="S10" i="1"/>
  <c r="K10" i="1"/>
  <c r="P10" i="1" s="1"/>
  <c r="U21" i="1"/>
  <c r="M21" i="1"/>
  <c r="P21" i="1"/>
  <c r="F80" i="36"/>
  <c r="T69" i="1"/>
  <c r="T66" i="1"/>
  <c r="T74" i="1"/>
  <c r="K47" i="1"/>
  <c r="P47" i="1" s="1"/>
  <c r="S41" i="1"/>
  <c r="K41" i="1"/>
  <c r="P41" i="1" s="1"/>
  <c r="T40" i="1"/>
  <c r="P40" i="1"/>
  <c r="T68" i="1"/>
  <c r="K65" i="1"/>
  <c r="P65" i="1" s="1"/>
  <c r="S73" i="1"/>
  <c r="T73" i="1" s="1"/>
  <c r="P73" i="1"/>
  <c r="S19" i="1"/>
  <c r="K19" i="1"/>
  <c r="P19" i="1" s="1"/>
  <c r="S20" i="1"/>
  <c r="K20" i="1"/>
  <c r="P20" i="1" s="1"/>
  <c r="S48" i="1"/>
  <c r="K48" i="1"/>
  <c r="P48" i="1" s="1"/>
  <c r="S36" i="1"/>
  <c r="K36" i="1"/>
  <c r="P36" i="1" s="1"/>
  <c r="S42" i="1"/>
  <c r="K42" i="1"/>
  <c r="P42" i="1" s="1"/>
  <c r="S49" i="1"/>
  <c r="K49" i="1"/>
  <c r="P49" i="1" s="1"/>
  <c r="S30" i="1"/>
  <c r="K30" i="1"/>
  <c r="P30" i="1" s="1"/>
  <c r="P53" i="1"/>
  <c r="T53" i="1"/>
  <c r="S37" i="1"/>
  <c r="K37" i="1"/>
  <c r="P37" i="1" s="1"/>
  <c r="S71" i="1"/>
  <c r="K71" i="1"/>
  <c r="P71" i="1" s="1"/>
  <c r="S54" i="1"/>
  <c r="K54" i="1"/>
  <c r="P54" i="1" s="1"/>
  <c r="S43" i="1"/>
  <c r="K43" i="1"/>
  <c r="P43" i="1" s="1"/>
  <c r="S64" i="1"/>
  <c r="K64" i="1"/>
  <c r="P64" i="1" s="1"/>
  <c r="S55" i="1"/>
  <c r="K55" i="1"/>
  <c r="P55" i="1" s="1"/>
  <c r="S46" i="1"/>
  <c r="K46" i="1"/>
  <c r="P46" i="1" s="1"/>
  <c r="S51" i="1"/>
  <c r="K51" i="1"/>
  <c r="P51" i="1" s="1"/>
  <c r="S52" i="1"/>
  <c r="K52" i="1"/>
  <c r="P52" i="1" s="1"/>
  <c r="S33" i="1"/>
  <c r="K33" i="1"/>
  <c r="P33" i="1" s="1"/>
  <c r="S50" i="1"/>
  <c r="K50" i="1"/>
  <c r="M50" i="1" s="1"/>
  <c r="Q50" i="1" s="1"/>
  <c r="S45" i="1"/>
  <c r="K45" i="1"/>
  <c r="P45" i="1" s="1"/>
  <c r="K61" i="1"/>
  <c r="P61" i="1" s="1"/>
  <c r="K60" i="1"/>
  <c r="P60" i="1" s="1"/>
  <c r="P70" i="1"/>
  <c r="M70" i="1"/>
  <c r="P72" i="1"/>
  <c r="M72" i="1"/>
  <c r="U70" i="1"/>
  <c r="T70" i="1"/>
  <c r="U72" i="1"/>
  <c r="T72" i="1"/>
  <c r="K8" i="1"/>
  <c r="P8" i="1" s="1"/>
  <c r="F59" i="36"/>
  <c r="AA59" i="36" s="1"/>
  <c r="F47" i="36"/>
  <c r="F46" i="36"/>
  <c r="F36" i="36"/>
  <c r="F25" i="36"/>
  <c r="F24" i="36"/>
  <c r="F19" i="36"/>
  <c r="F18" i="36"/>
  <c r="F28" i="36"/>
  <c r="F17" i="36"/>
  <c r="F21" i="36"/>
  <c r="F14" i="36"/>
  <c r="F15" i="36"/>
  <c r="F13" i="36"/>
  <c r="P78" i="1"/>
  <c r="T78" i="1"/>
  <c r="F90" i="36"/>
  <c r="T7" i="1"/>
  <c r="T18" i="1"/>
  <c r="T3" i="1"/>
  <c r="T16" i="1"/>
  <c r="T12" i="1"/>
  <c r="P9" i="1"/>
  <c r="M9" i="1"/>
  <c r="U9" i="1"/>
  <c r="T9" i="1"/>
  <c r="T5" i="1"/>
  <c r="U16" i="1"/>
  <c r="M16" i="1"/>
  <c r="AK1" i="36"/>
  <c r="AD59" i="36" l="1"/>
  <c r="AE59" i="36"/>
  <c r="V59" i="36"/>
  <c r="X59" i="36"/>
  <c r="AB59" i="36"/>
  <c r="Y59" i="36"/>
  <c r="W59" i="36"/>
  <c r="Z59" i="36"/>
  <c r="AC59" i="36"/>
  <c r="U59" i="36"/>
  <c r="T59" i="36"/>
  <c r="Q9" i="1"/>
  <c r="L97" i="1"/>
  <c r="Q70" i="1"/>
  <c r="P11" i="1"/>
  <c r="P6" i="1"/>
  <c r="Q39" i="1"/>
  <c r="M17" i="1"/>
  <c r="Q17" i="1" s="1"/>
  <c r="E28" i="36"/>
  <c r="J32" i="1" s="1"/>
  <c r="E18" i="36"/>
  <c r="J28" i="1" s="1"/>
  <c r="E25" i="36"/>
  <c r="J38" i="1" s="1"/>
  <c r="E46" i="36"/>
  <c r="J56" i="1" s="1"/>
  <c r="E24" i="36"/>
  <c r="J34" i="1" s="1"/>
  <c r="E21" i="36"/>
  <c r="J31" i="1" s="1"/>
  <c r="E47" i="36"/>
  <c r="J59" i="1" s="1"/>
  <c r="L75" i="1"/>
  <c r="E36" i="36"/>
  <c r="J44" i="1" s="1"/>
  <c r="E17" i="36"/>
  <c r="J27" i="1" s="1"/>
  <c r="E19" i="36"/>
  <c r="J29" i="1" s="1"/>
  <c r="T10" i="1"/>
  <c r="T6" i="1"/>
  <c r="T42" i="1"/>
  <c r="T48" i="1"/>
  <c r="T11" i="1"/>
  <c r="T13" i="1"/>
  <c r="T17" i="1"/>
  <c r="U17" i="1"/>
  <c r="P50" i="1"/>
  <c r="Q21" i="1"/>
  <c r="V21" i="1"/>
  <c r="T8" i="1"/>
  <c r="M33" i="1"/>
  <c r="Q33" i="1" s="1"/>
  <c r="U71" i="1"/>
  <c r="T20" i="1"/>
  <c r="T19" i="1"/>
  <c r="U51" i="1"/>
  <c r="T71" i="1"/>
  <c r="T36" i="1"/>
  <c r="U33" i="1"/>
  <c r="M71" i="1"/>
  <c r="T47" i="1"/>
  <c r="T33" i="1"/>
  <c r="T51" i="1"/>
  <c r="M52" i="1"/>
  <c r="Q52" i="1" s="1"/>
  <c r="M30" i="1"/>
  <c r="V30" i="1" s="1"/>
  <c r="T65" i="1"/>
  <c r="U52" i="1"/>
  <c r="T60" i="1"/>
  <c r="T41" i="1"/>
  <c r="T45" i="1"/>
  <c r="T49" i="1"/>
  <c r="M51" i="1"/>
  <c r="Q51" i="1" s="1"/>
  <c r="T43" i="1"/>
  <c r="T55" i="1"/>
  <c r="T50" i="1"/>
  <c r="T52" i="1"/>
  <c r="T46" i="1"/>
  <c r="T64" i="1"/>
  <c r="V70" i="1"/>
  <c r="U30" i="1"/>
  <c r="T37" i="1"/>
  <c r="U50" i="1"/>
  <c r="T54" i="1"/>
  <c r="T61" i="1"/>
  <c r="T30" i="1"/>
  <c r="E59" i="36"/>
  <c r="J102" i="1" s="1"/>
  <c r="K102" i="1" s="1"/>
  <c r="Q72" i="1"/>
  <c r="V72" i="1"/>
  <c r="E14" i="36"/>
  <c r="J25" i="1" s="1"/>
  <c r="E15" i="36"/>
  <c r="J26" i="1" s="1"/>
  <c r="E13" i="36"/>
  <c r="J23" i="1" s="1"/>
  <c r="M94" i="1"/>
  <c r="U94" i="1"/>
  <c r="M86" i="1"/>
  <c r="U86" i="1"/>
  <c r="M80" i="1"/>
  <c r="U80" i="1"/>
  <c r="Q16" i="1"/>
  <c r="V16" i="1"/>
  <c r="V50" i="1"/>
  <c r="V9" i="1"/>
  <c r="AL1" i="36"/>
  <c r="L40" i="1"/>
  <c r="L22" i="1"/>
  <c r="U78" i="1"/>
  <c r="M78" i="1"/>
  <c r="M79" i="1"/>
  <c r="U79" i="1"/>
  <c r="AF59" i="36" l="1"/>
  <c r="AG59" i="36" s="1"/>
  <c r="AH59" i="36" s="1"/>
  <c r="AI59" i="36" s="1"/>
  <c r="AJ59" i="36" s="1"/>
  <c r="AK59" i="36" s="1"/>
  <c r="AL59" i="36" s="1"/>
  <c r="AM59" i="36" s="1"/>
  <c r="AN59" i="36" s="1"/>
  <c r="AO59" i="36" s="1"/>
  <c r="AP59" i="36" s="1"/>
  <c r="AQ59" i="36" s="1"/>
  <c r="S59" i="36"/>
  <c r="L87" i="1"/>
  <c r="Q71" i="1"/>
  <c r="V17" i="1"/>
  <c r="M103" i="1" s="1"/>
  <c r="V33" i="1"/>
  <c r="V71" i="1"/>
  <c r="Q30" i="1"/>
  <c r="V51" i="1"/>
  <c r="V52" i="1"/>
  <c r="T102" i="1"/>
  <c r="P102" i="1"/>
  <c r="S59" i="1"/>
  <c r="K59" i="1"/>
  <c r="P59" i="1" s="1"/>
  <c r="S56" i="1"/>
  <c r="K56" i="1"/>
  <c r="P56" i="1" s="1"/>
  <c r="S44" i="1"/>
  <c r="K44" i="1"/>
  <c r="P44" i="1" s="1"/>
  <c r="S38" i="1"/>
  <c r="K38" i="1"/>
  <c r="P38" i="1" s="1"/>
  <c r="S34" i="1"/>
  <c r="K34" i="1"/>
  <c r="P34" i="1" s="1"/>
  <c r="S29" i="1"/>
  <c r="K29" i="1"/>
  <c r="P29" i="1" s="1"/>
  <c r="S28" i="1"/>
  <c r="K28" i="1"/>
  <c r="P28" i="1" s="1"/>
  <c r="S32" i="1"/>
  <c r="K32" i="1"/>
  <c r="P32" i="1" s="1"/>
  <c r="S27" i="1"/>
  <c r="K27" i="1"/>
  <c r="P27" i="1" s="1"/>
  <c r="S31" i="1"/>
  <c r="K31" i="1"/>
  <c r="P31" i="1" s="1"/>
  <c r="S26" i="1"/>
  <c r="K26" i="1"/>
  <c r="P26" i="1" s="1"/>
  <c r="S25" i="1"/>
  <c r="K25" i="1"/>
  <c r="P25" i="1" s="1"/>
  <c r="S23" i="1"/>
  <c r="K23" i="1"/>
  <c r="P23" i="1" s="1"/>
  <c r="V86" i="1"/>
  <c r="Q86" i="1"/>
  <c r="Q80" i="1"/>
  <c r="V80" i="1"/>
  <c r="Q94" i="1"/>
  <c r="V94" i="1"/>
  <c r="M22" i="1"/>
  <c r="U22" i="1"/>
  <c r="Q78" i="1"/>
  <c r="V78" i="1"/>
  <c r="M40" i="1"/>
  <c r="U40" i="1"/>
  <c r="Q79" i="1"/>
  <c r="V79" i="1"/>
  <c r="U73" i="1"/>
  <c r="M73" i="1"/>
  <c r="AM1" i="36"/>
  <c r="L23" i="1"/>
  <c r="L60" i="1"/>
  <c r="L42" i="1"/>
  <c r="L41" i="1"/>
  <c r="L12" i="1"/>
  <c r="L102" i="1" l="1"/>
  <c r="L85" i="1"/>
  <c r="L82" i="1"/>
  <c r="T56" i="1"/>
  <c r="T59" i="1"/>
  <c r="L59" i="1"/>
  <c r="T28" i="1"/>
  <c r="L44" i="1"/>
  <c r="U44" i="1" s="1"/>
  <c r="T44" i="1"/>
  <c r="T38" i="1"/>
  <c r="T34" i="1"/>
  <c r="T29" i="1"/>
  <c r="L32" i="1"/>
  <c r="T27" i="1"/>
  <c r="T32" i="1"/>
  <c r="T23" i="1"/>
  <c r="T26" i="1"/>
  <c r="T31" i="1"/>
  <c r="L31" i="1"/>
  <c r="T25" i="1"/>
  <c r="M105" i="1"/>
  <c r="U105" i="1"/>
  <c r="M42" i="1"/>
  <c r="U42" i="1"/>
  <c r="M95" i="1"/>
  <c r="U95" i="1"/>
  <c r="AN1" i="36"/>
  <c r="L61" i="1"/>
  <c r="L43" i="1"/>
  <c r="L25" i="1"/>
  <c r="L34" i="1"/>
  <c r="L62" i="1"/>
  <c r="L11" i="1"/>
  <c r="L24" i="1"/>
  <c r="L55" i="1"/>
  <c r="L10" i="1"/>
  <c r="M12" i="1"/>
  <c r="U12" i="1"/>
  <c r="U108" i="1"/>
  <c r="M108" i="1"/>
  <c r="M104" i="1"/>
  <c r="U104" i="1"/>
  <c r="M107" i="1"/>
  <c r="U107" i="1"/>
  <c r="Q73" i="1"/>
  <c r="V73" i="1"/>
  <c r="U96" i="1"/>
  <c r="M96" i="1"/>
  <c r="M41" i="1"/>
  <c r="U41" i="1"/>
  <c r="U89" i="1"/>
  <c r="M89" i="1"/>
  <c r="U90" i="1"/>
  <c r="M90" i="1"/>
  <c r="U97" i="1"/>
  <c r="M97" i="1"/>
  <c r="U106" i="1"/>
  <c r="M106" i="1"/>
  <c r="U92" i="1"/>
  <c r="M92" i="1"/>
  <c r="U60" i="1"/>
  <c r="M60" i="1"/>
  <c r="U88" i="1"/>
  <c r="M88" i="1"/>
  <c r="M23" i="1"/>
  <c r="U23" i="1"/>
  <c r="Q40" i="1"/>
  <c r="V40" i="1"/>
  <c r="Q22" i="1"/>
  <c r="V22" i="1"/>
  <c r="L84" i="1" l="1"/>
  <c r="M59" i="1"/>
  <c r="U59" i="1"/>
  <c r="M44" i="1"/>
  <c r="Q44" i="1" s="1"/>
  <c r="U32" i="1"/>
  <c r="M32" i="1"/>
  <c r="U31" i="1"/>
  <c r="M31" i="1"/>
  <c r="Q88" i="1"/>
  <c r="V88" i="1"/>
  <c r="Q92" i="1"/>
  <c r="V92" i="1"/>
  <c r="Q90" i="1"/>
  <c r="V90" i="1"/>
  <c r="M55" i="1"/>
  <c r="U55" i="1"/>
  <c r="U34" i="1"/>
  <c r="M34" i="1"/>
  <c r="M61" i="1"/>
  <c r="U61" i="1"/>
  <c r="Q41" i="1"/>
  <c r="V41" i="1"/>
  <c r="M24" i="1"/>
  <c r="U24" i="1"/>
  <c r="M25" i="1"/>
  <c r="U25" i="1"/>
  <c r="AO1" i="36"/>
  <c r="L26" i="1"/>
  <c r="L27" i="1"/>
  <c r="L63" i="1"/>
  <c r="L13" i="1"/>
  <c r="L45" i="1"/>
  <c r="Q95" i="1"/>
  <c r="V95" i="1"/>
  <c r="V105" i="1"/>
  <c r="Q105" i="1"/>
  <c r="Q60" i="1"/>
  <c r="V60" i="1"/>
  <c r="Q106" i="1"/>
  <c r="V106" i="1"/>
  <c r="Q97" i="1"/>
  <c r="V97" i="1"/>
  <c r="Q89" i="1"/>
  <c r="V89" i="1"/>
  <c r="V96" i="1"/>
  <c r="Q96" i="1"/>
  <c r="V107" i="1"/>
  <c r="Q107" i="1"/>
  <c r="V104" i="1"/>
  <c r="Q104" i="1"/>
  <c r="Q12" i="1"/>
  <c r="V12" i="1"/>
  <c r="M11" i="1"/>
  <c r="U11" i="1"/>
  <c r="Q23" i="1"/>
  <c r="V23" i="1"/>
  <c r="Q108" i="1"/>
  <c r="V108" i="1"/>
  <c r="M10" i="1"/>
  <c r="U10" i="1"/>
  <c r="M62" i="1"/>
  <c r="U62" i="1"/>
  <c r="M43" i="1"/>
  <c r="U43" i="1"/>
  <c r="Q42" i="1"/>
  <c r="V42" i="1"/>
  <c r="V59" i="1" l="1"/>
  <c r="Q59" i="1"/>
  <c r="V44" i="1"/>
  <c r="Q32" i="1"/>
  <c r="V32" i="1"/>
  <c r="Q31" i="1"/>
  <c r="V31" i="1"/>
  <c r="M110" i="1"/>
  <c r="U110" i="1"/>
  <c r="U102" i="1"/>
  <c r="M102" i="1"/>
  <c r="M76" i="1"/>
  <c r="U76" i="1"/>
  <c r="M82" i="1"/>
  <c r="U82" i="1"/>
  <c r="M81" i="1"/>
  <c r="U81" i="1"/>
  <c r="Q62" i="1"/>
  <c r="V62" i="1"/>
  <c r="U63" i="1"/>
  <c r="M63" i="1"/>
  <c r="Q34" i="1"/>
  <c r="V34" i="1"/>
  <c r="M27" i="1"/>
  <c r="U27" i="1"/>
  <c r="Q25" i="1"/>
  <c r="V25" i="1"/>
  <c r="Q43" i="1"/>
  <c r="V43" i="1"/>
  <c r="V10" i="1"/>
  <c r="M85" i="1" s="1"/>
  <c r="Q10" i="1"/>
  <c r="M45" i="1"/>
  <c r="U45" i="1"/>
  <c r="M26" i="1"/>
  <c r="U26" i="1"/>
  <c r="Q11" i="1"/>
  <c r="V11" i="1"/>
  <c r="M84" i="1" s="1"/>
  <c r="U13" i="1"/>
  <c r="M13" i="1"/>
  <c r="AP1" i="36"/>
  <c r="L28" i="1"/>
  <c r="L38" i="1"/>
  <c r="L53" i="1"/>
  <c r="L68" i="1"/>
  <c r="L36" i="1"/>
  <c r="L37" i="1"/>
  <c r="L14" i="1"/>
  <c r="L6" i="1"/>
  <c r="L48" i="1"/>
  <c r="L66" i="1"/>
  <c r="L47" i="1"/>
  <c r="Q24" i="1"/>
  <c r="V24" i="1"/>
  <c r="Q61" i="1"/>
  <c r="V61" i="1"/>
  <c r="Q55" i="1"/>
  <c r="V55" i="1"/>
  <c r="Q102" i="1" l="1"/>
  <c r="V102" i="1"/>
  <c r="M83" i="1"/>
  <c r="U83" i="1"/>
  <c r="Q82" i="1"/>
  <c r="V82" i="1"/>
  <c r="V81" i="1"/>
  <c r="Q81" i="1"/>
  <c r="V76" i="1"/>
  <c r="Q76" i="1"/>
  <c r="Q110" i="1"/>
  <c r="V110" i="1"/>
  <c r="M66" i="1"/>
  <c r="U66" i="1"/>
  <c r="M37" i="1"/>
  <c r="U37" i="1"/>
  <c r="U38" i="1"/>
  <c r="M38" i="1"/>
  <c r="Q63" i="1"/>
  <c r="V63" i="1"/>
  <c r="U48" i="1"/>
  <c r="M48" i="1"/>
  <c r="M36" i="1"/>
  <c r="U36" i="1"/>
  <c r="U28" i="1"/>
  <c r="M28" i="1"/>
  <c r="Q26" i="1"/>
  <c r="V26" i="1"/>
  <c r="M6" i="1"/>
  <c r="U6" i="1"/>
  <c r="M68" i="1"/>
  <c r="U68" i="1"/>
  <c r="AQ1" i="36"/>
  <c r="L64" i="1"/>
  <c r="L49" i="1"/>
  <c r="L3" i="1"/>
  <c r="L4" i="1"/>
  <c r="Q27" i="1"/>
  <c r="V27" i="1"/>
  <c r="U47" i="1"/>
  <c r="M47" i="1"/>
  <c r="M14" i="1"/>
  <c r="U14" i="1"/>
  <c r="U53" i="1"/>
  <c r="M53" i="1"/>
  <c r="Q13" i="1"/>
  <c r="V13" i="1"/>
  <c r="M91" i="1" s="1"/>
  <c r="Q45" i="1"/>
  <c r="V45" i="1"/>
  <c r="U74" i="1" l="1"/>
  <c r="L18" i="1"/>
  <c r="Q83" i="1"/>
  <c r="V83" i="1"/>
  <c r="U49" i="1"/>
  <c r="M49" i="1"/>
  <c r="Q68" i="1"/>
  <c r="V68" i="1"/>
  <c r="U64" i="1"/>
  <c r="M64" i="1"/>
  <c r="Q36" i="1"/>
  <c r="V36" i="1"/>
  <c r="Q37" i="1"/>
  <c r="V37" i="1"/>
  <c r="Q53" i="1"/>
  <c r="V53" i="1"/>
  <c r="Q47" i="1"/>
  <c r="V47" i="1"/>
  <c r="U3" i="1"/>
  <c r="M3" i="1"/>
  <c r="L7" i="1"/>
  <c r="L29" i="1"/>
  <c r="L46" i="1"/>
  <c r="L8" i="1"/>
  <c r="L67" i="1"/>
  <c r="L15" i="1"/>
  <c r="L20" i="1"/>
  <c r="L65" i="1"/>
  <c r="L57" i="1"/>
  <c r="L54" i="1"/>
  <c r="L5" i="1"/>
  <c r="L69" i="1"/>
  <c r="L19" i="1"/>
  <c r="L58" i="1"/>
  <c r="L56" i="1"/>
  <c r="Q6" i="1"/>
  <c r="V6" i="1"/>
  <c r="M87" i="1" s="1"/>
  <c r="Q28" i="1"/>
  <c r="V28" i="1"/>
  <c r="Q48" i="1"/>
  <c r="V48" i="1"/>
  <c r="Q38" i="1"/>
  <c r="V38" i="1"/>
  <c r="Q14" i="1"/>
  <c r="V14" i="1"/>
  <c r="Q66" i="1"/>
  <c r="V66" i="1"/>
  <c r="M74" i="1" l="1"/>
  <c r="U111" i="1"/>
  <c r="M111" i="1"/>
  <c r="M100" i="1"/>
  <c r="U100" i="1"/>
  <c r="U109" i="1"/>
  <c r="M109" i="1"/>
  <c r="M77" i="1"/>
  <c r="U77" i="1"/>
  <c r="M18" i="1"/>
  <c r="U18" i="1"/>
  <c r="U98" i="1"/>
  <c r="M98" i="1"/>
  <c r="M93" i="1"/>
  <c r="U93" i="1"/>
  <c r="U56" i="1"/>
  <c r="M56" i="1"/>
  <c r="M101" i="1"/>
  <c r="U101" i="1"/>
  <c r="M65" i="1"/>
  <c r="U65" i="1"/>
  <c r="U8" i="1"/>
  <c r="M8" i="1"/>
  <c r="Q3" i="1"/>
  <c r="V3" i="1"/>
  <c r="U58" i="1"/>
  <c r="M58" i="1"/>
  <c r="U5" i="1"/>
  <c r="M5" i="1"/>
  <c r="U20" i="1"/>
  <c r="M20" i="1"/>
  <c r="U46" i="1"/>
  <c r="M46" i="1"/>
  <c r="U19" i="1"/>
  <c r="M19" i="1"/>
  <c r="M54" i="1"/>
  <c r="U54" i="1"/>
  <c r="M15" i="1"/>
  <c r="U15" i="1"/>
  <c r="U29" i="1"/>
  <c r="M29" i="1"/>
  <c r="Q49" i="1"/>
  <c r="V49" i="1"/>
  <c r="U69" i="1"/>
  <c r="M69" i="1"/>
  <c r="U57" i="1"/>
  <c r="M57" i="1"/>
  <c r="U67" i="1"/>
  <c r="M67" i="1"/>
  <c r="M7" i="1"/>
  <c r="U7" i="1"/>
  <c r="Q64" i="1"/>
  <c r="V64" i="1"/>
  <c r="M75" i="1" l="1"/>
  <c r="Q74" i="1"/>
  <c r="V74" i="1"/>
  <c r="Q100" i="1"/>
  <c r="V100" i="1"/>
  <c r="Q111" i="1"/>
  <c r="V111" i="1"/>
  <c r="Q77" i="1"/>
  <c r="V77" i="1"/>
  <c r="Q109" i="1"/>
  <c r="V109" i="1"/>
  <c r="V98" i="1"/>
  <c r="Q98" i="1"/>
  <c r="Q93" i="1"/>
  <c r="V93" i="1"/>
  <c r="V18" i="1"/>
  <c r="Q18" i="1"/>
  <c r="V67" i="1"/>
  <c r="Q67" i="1"/>
  <c r="Q69" i="1"/>
  <c r="V69" i="1"/>
  <c r="Q19" i="1"/>
  <c r="V19" i="1"/>
  <c r="Q46" i="1"/>
  <c r="V46" i="1"/>
  <c r="Q5" i="1"/>
  <c r="V5" i="1"/>
  <c r="V101" i="1"/>
  <c r="Q101" i="1"/>
  <c r="Q15" i="1"/>
  <c r="V15" i="1"/>
  <c r="Q56" i="1"/>
  <c r="V56" i="1"/>
  <c r="Q57" i="1"/>
  <c r="V57" i="1"/>
  <c r="Q29" i="1"/>
  <c r="V29" i="1"/>
  <c r="Q20" i="1"/>
  <c r="V20" i="1"/>
  <c r="V58" i="1"/>
  <c r="Q58" i="1"/>
  <c r="Q8" i="1"/>
  <c r="V8" i="1"/>
  <c r="Q65" i="1"/>
  <c r="V65" i="1"/>
  <c r="Q7" i="1"/>
  <c r="V7" i="1"/>
  <c r="Q54" i="1"/>
  <c r="V54" i="1"/>
  <c r="E5" i="36" l="1"/>
  <c r="J4" i="1" s="1"/>
  <c r="S4" i="1" s="1"/>
  <c r="K4" i="1" l="1"/>
  <c r="U4" i="1" l="1"/>
  <c r="T4" i="1"/>
  <c r="M4" i="1"/>
  <c r="P4" i="1"/>
  <c r="Q4" i="1" l="1"/>
  <c r="V4" i="1"/>
  <c r="F27" i="36" l="1"/>
  <c r="E27" i="36" l="1"/>
  <c r="J35" i="1" s="1"/>
  <c r="K35" i="1" l="1"/>
  <c r="S35" i="1"/>
  <c r="L35" i="1" l="1"/>
  <c r="U35" i="1" s="1"/>
  <c r="T35" i="1"/>
  <c r="P35" i="1"/>
  <c r="M35" i="1" l="1"/>
  <c r="Q35" i="1" s="1"/>
  <c r="V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<sst xmlns="http://schemas.openxmlformats.org/spreadsheetml/2006/main" count="3043" uniqueCount="423">
  <si>
    <r>
      <t>Parc</t>
    </r>
    <r>
      <rPr>
        <b/>
        <sz val="7.5"/>
        <color rgb="FFFFFFFF"/>
        <rFont val="Helvetica"/>
      </rPr>
      <t xml:space="preserve"> </t>
    </r>
  </si>
  <si>
    <t>PDL</t>
  </si>
  <si>
    <t>Technologie</t>
  </si>
  <si>
    <t>COD</t>
  </si>
  <si>
    <t>Année COD</t>
  </si>
  <si>
    <t>MW 100%</t>
  </si>
  <si>
    <t>Taux succès</t>
  </si>
  <si>
    <t>MW pondérés</t>
  </si>
  <si>
    <t>EOH</t>
  </si>
  <si>
    <t>GWh</t>
  </si>
  <si>
    <t>%GWh année 1</t>
  </si>
  <si>
    <t>GWh année 1</t>
  </si>
  <si>
    <t>Mécanisme</t>
  </si>
  <si>
    <t>FiT 2019</t>
  </si>
  <si>
    <t>CA phase 1 (M€)</t>
  </si>
  <si>
    <t>CA année 1 (M€)</t>
  </si>
  <si>
    <t>Début FiT ajusté</t>
  </si>
  <si>
    <t>FiT Ajusté</t>
  </si>
  <si>
    <t>CA phase 2 (M€)</t>
  </si>
  <si>
    <t>CA année 10 (M€)</t>
  </si>
  <si>
    <t>CA année 15 (M€)</t>
  </si>
  <si>
    <t>Date Merchant</t>
  </si>
  <si>
    <t>Année Merchant</t>
  </si>
  <si>
    <t>Avignonet 1</t>
  </si>
  <si>
    <t>Eolien</t>
  </si>
  <si>
    <t>FiT</t>
  </si>
  <si>
    <t xml:space="preserve">Chépy </t>
  </si>
  <si>
    <t xml:space="preserve">Nibas </t>
  </si>
  <si>
    <t>Bougainville</t>
  </si>
  <si>
    <t xml:space="preserve">Ally-Mercoeur </t>
  </si>
  <si>
    <t>Bessadous, Mercoeur, Monteil, Verseilles</t>
  </si>
  <si>
    <t>Cham Longe 1</t>
  </si>
  <si>
    <t>Bel Air, Le Courbil</t>
  </si>
  <si>
    <t xml:space="preserve">Plouguin </t>
  </si>
  <si>
    <t>Evits et Josaphats</t>
  </si>
  <si>
    <t>Remise Reclainville</t>
  </si>
  <si>
    <t xml:space="preserve">La Citadelle </t>
  </si>
  <si>
    <t>Maurienne / Gourgançon</t>
  </si>
  <si>
    <t>Fond de la Plaine</t>
  </si>
  <si>
    <t>Les Moulins de Boulay</t>
  </si>
  <si>
    <t>Coat Conval</t>
  </si>
  <si>
    <t>Saint-André</t>
  </si>
  <si>
    <t>Avignonet 2</t>
  </si>
  <si>
    <t>Liegn ar Gasprenn</t>
  </si>
  <si>
    <t>Les Eparmonts</t>
  </si>
  <si>
    <t>Bassigny</t>
  </si>
  <si>
    <t>Vaux des Roques</t>
  </si>
  <si>
    <t>Valhuon (St Patrick 1)</t>
  </si>
  <si>
    <t>Pernois 1</t>
  </si>
  <si>
    <t>Plateau de Langres</t>
  </si>
  <si>
    <t>Pernois 2</t>
  </si>
  <si>
    <t>Pernois 3</t>
  </si>
  <si>
    <t>Pannecé (BS)</t>
  </si>
  <si>
    <t>Beauséjour</t>
  </si>
  <si>
    <t>Vallée d'Arce 1</t>
  </si>
  <si>
    <t>Nouret, Noyer</t>
  </si>
  <si>
    <t>Vallée d'Arce 2</t>
  </si>
  <si>
    <t>Druine</t>
  </si>
  <si>
    <t>Cham Longe 2</t>
  </si>
  <si>
    <t>Hernin (St Patrick 2)</t>
  </si>
  <si>
    <t>Hernin</t>
  </si>
  <si>
    <t>Pannecé (LV)</t>
  </si>
  <si>
    <t>La Vallière</t>
  </si>
  <si>
    <t>La Bouleste</t>
  </si>
  <si>
    <t>Ronchois</t>
  </si>
  <si>
    <t>Ronchois 1 &amp; 2</t>
  </si>
  <si>
    <t>Haut de Conge</t>
  </si>
  <si>
    <t>Haut de Conge 1 &amp; 3</t>
  </si>
  <si>
    <t xml:space="preserve">Chasse Marée </t>
  </si>
  <si>
    <t xml:space="preserve">Le Grand Camp </t>
  </si>
  <si>
    <t>Ronchois 3</t>
  </si>
  <si>
    <t>Clérimois</t>
  </si>
  <si>
    <t>Avignonet-Lauragais PV</t>
  </si>
  <si>
    <t>PV</t>
  </si>
  <si>
    <t>Coulonges</t>
  </si>
  <si>
    <t>Coulonges Thouarsais, Noireterre, Chapelle Gaudin</t>
  </si>
  <si>
    <t>Charmoy</t>
  </si>
  <si>
    <t>Sources Loire</t>
  </si>
  <si>
    <t>Sources de la Loire 1 &amp; 2</t>
  </si>
  <si>
    <t>Haut de Conge 2</t>
  </si>
  <si>
    <t xml:space="preserve">Vron  </t>
  </si>
  <si>
    <t xml:space="preserve">La Vallée </t>
  </si>
  <si>
    <t>Saint Georges, Renardière, Les Chenes, Lizeray</t>
  </si>
  <si>
    <t>Fortel-Bonnières 2</t>
  </si>
  <si>
    <t>Pays d'Othe</t>
  </si>
  <si>
    <t>Fortel-Bonnières 1</t>
  </si>
  <si>
    <t>St-François (Roye 2)</t>
  </si>
  <si>
    <t>Roye 2</t>
  </si>
  <si>
    <t>St-François (Roye 3)</t>
  </si>
  <si>
    <t>Roye 3</t>
  </si>
  <si>
    <t>Comes de l'Arce</t>
  </si>
  <si>
    <t>Monfort</t>
  </si>
  <si>
    <t xml:space="preserve">Calmont  </t>
  </si>
  <si>
    <t>Touvent</t>
  </si>
  <si>
    <t>Plateau de Savernat 1</t>
  </si>
  <si>
    <t>Morlange</t>
  </si>
  <si>
    <t>Zondrange</t>
  </si>
  <si>
    <t>Plateau de Savernat 2</t>
  </si>
  <si>
    <t>Voie des Monts</t>
  </si>
  <si>
    <t>Mont de Bagny</t>
  </si>
  <si>
    <t>MB 1 &amp; 2</t>
  </si>
  <si>
    <t>Val Aux Moines</t>
  </si>
  <si>
    <t>VAM 1 &amp; 2</t>
  </si>
  <si>
    <t>Plaine de Beaunay</t>
  </si>
  <si>
    <t>Artois</t>
  </si>
  <si>
    <t>Artois 1 &amp; 2</t>
  </si>
  <si>
    <t>CdG</t>
  </si>
  <si>
    <t>MET</t>
  </si>
  <si>
    <t>Noyer Bucamps</t>
  </si>
  <si>
    <t>CR16</t>
  </si>
  <si>
    <t>HC</t>
  </si>
  <si>
    <t>Coteaux du Blaiseron</t>
  </si>
  <si>
    <t>Le Pelon</t>
  </si>
  <si>
    <t>SA</t>
  </si>
  <si>
    <t>BTN</t>
  </si>
  <si>
    <t>BTN 1 &amp; 2</t>
  </si>
  <si>
    <t>CAT</t>
  </si>
  <si>
    <t>CR17</t>
  </si>
  <si>
    <t>RIB 1</t>
  </si>
  <si>
    <t>Cham Longe 1 - off</t>
  </si>
  <si>
    <t>Off</t>
  </si>
  <si>
    <t>XSAN</t>
  </si>
  <si>
    <t>CR</t>
  </si>
  <si>
    <t>Blanches Fosses</t>
  </si>
  <si>
    <t>XSB</t>
  </si>
  <si>
    <t>Cham Longe 1 - Repowering</t>
  </si>
  <si>
    <t>Bazougeais</t>
  </si>
  <si>
    <t>XPE</t>
  </si>
  <si>
    <t>Peyrolles</t>
  </si>
  <si>
    <t>La Clé des Champs</t>
  </si>
  <si>
    <t>Remise Reclainville - off</t>
  </si>
  <si>
    <t>Evits et Josaphats - off</t>
  </si>
  <si>
    <t>LGB</t>
  </si>
  <si>
    <t>Bougainville - off</t>
  </si>
  <si>
    <t>Remise Reclainville - Repowering</t>
  </si>
  <si>
    <t>Evits et Josaphats - Repowering</t>
  </si>
  <si>
    <t>Parc Eolien du Bois des Fontaines</t>
  </si>
  <si>
    <t>Maurienne / Gourgançon - off</t>
  </si>
  <si>
    <t>Bougainville - Repowering</t>
  </si>
  <si>
    <t>Préveranges</t>
  </si>
  <si>
    <t>Marcillé</t>
  </si>
  <si>
    <t>Bois Ricart - Breteuil</t>
  </si>
  <si>
    <t>Maurienne / Gourgançon - Repowering</t>
  </si>
  <si>
    <t>Ouest Château Thierry</t>
  </si>
  <si>
    <t>Bois Désiré</t>
  </si>
  <si>
    <t>Coucouron</t>
  </si>
  <si>
    <t>Caumont Chériennes</t>
  </si>
  <si>
    <t>Cruis</t>
  </si>
  <si>
    <t>RIB 2</t>
  </si>
  <si>
    <t>Saint-André - off</t>
  </si>
  <si>
    <t>COD autres éolien 2024</t>
  </si>
  <si>
    <t>COD autres PV 2024</t>
  </si>
  <si>
    <t>Saint-André - Repowering</t>
  </si>
  <si>
    <t>COD autres éolien 2025</t>
  </si>
  <si>
    <t>COD autres PV 2025</t>
  </si>
  <si>
    <t>LML</t>
  </si>
  <si>
    <t>Michelin</t>
  </si>
  <si>
    <t>PPA</t>
  </si>
  <si>
    <t>Helfaut</t>
  </si>
  <si>
    <t>MW</t>
  </si>
  <si>
    <t>%GWh</t>
  </si>
  <si>
    <t>Cumul %GWh</t>
  </si>
  <si>
    <t>Total</t>
  </si>
  <si>
    <t>repowering</t>
  </si>
  <si>
    <t>Non</t>
  </si>
  <si>
    <t>Oui</t>
  </si>
  <si>
    <t>Durée de vie</t>
  </si>
  <si>
    <t>A prolonger avec Orange</t>
  </si>
  <si>
    <t>Fin 2026</t>
  </si>
  <si>
    <t>Fin 2025</t>
  </si>
  <si>
    <t>55-60</t>
  </si>
  <si>
    <t>OUT</t>
  </si>
  <si>
    <t>A prolonger avec Auchan</t>
  </si>
  <si>
    <t>Date MSI au plus tôt</t>
  </si>
  <si>
    <t>2026-2028</t>
  </si>
  <si>
    <t>Done</t>
  </si>
  <si>
    <t>Fin 2024</t>
  </si>
  <si>
    <t>Repowering prêt mais en cours d'optimisation</t>
  </si>
  <si>
    <t>Début 2027</t>
  </si>
  <si>
    <t>PE</t>
  </si>
  <si>
    <t xml:space="preserve">Parc </t>
  </si>
  <si>
    <t>Coulonges Thouarsais</t>
  </si>
  <si>
    <t>Noireterre</t>
  </si>
  <si>
    <t>Bessadous</t>
  </si>
  <si>
    <t>Mercoeur</t>
  </si>
  <si>
    <t>Monteil</t>
  </si>
  <si>
    <t>Verseilles</t>
  </si>
  <si>
    <t>Ronchois 1</t>
  </si>
  <si>
    <t>Ronchois 2</t>
  </si>
  <si>
    <t>Haut de Conge 1</t>
  </si>
  <si>
    <t>Haut de Conge 3</t>
  </si>
  <si>
    <t>Chapelle Gaudin</t>
  </si>
  <si>
    <t>Sources de la Loire 2</t>
  </si>
  <si>
    <t>Sources de la Loire 1</t>
  </si>
  <si>
    <t>Saint Georges</t>
  </si>
  <si>
    <t>Renardière</t>
  </si>
  <si>
    <t>Les Chenes</t>
  </si>
  <si>
    <t>Lizeray</t>
  </si>
  <si>
    <t>VAM 2</t>
  </si>
  <si>
    <t>VAM 1</t>
  </si>
  <si>
    <t>MB 1</t>
  </si>
  <si>
    <t>MB 2</t>
  </si>
  <si>
    <t>Artois 2</t>
  </si>
  <si>
    <t>Artois 1</t>
  </si>
  <si>
    <t>BTN 1</t>
  </si>
  <si>
    <t>BTN 2</t>
  </si>
  <si>
    <t>Bel Air</t>
  </si>
  <si>
    <t>Le Courbil</t>
  </si>
  <si>
    <t>Nouret</t>
  </si>
  <si>
    <t>Noyer</t>
  </si>
  <si>
    <t>Vallée d'Arce 3</t>
  </si>
  <si>
    <t>projet_id</t>
  </si>
  <si>
    <t>AVI1</t>
  </si>
  <si>
    <t>AVI2</t>
  </si>
  <si>
    <t>CHEP</t>
  </si>
  <si>
    <t>NIBA</t>
  </si>
  <si>
    <t>ALBE</t>
  </si>
  <si>
    <t>ALME</t>
  </si>
  <si>
    <t>ALMO</t>
  </si>
  <si>
    <t>ALVE</t>
  </si>
  <si>
    <t>PLOU</t>
  </si>
  <si>
    <t>LACI</t>
  </si>
  <si>
    <t>FOPL</t>
  </si>
  <si>
    <t>LMDB</t>
  </si>
  <si>
    <t>COCO</t>
  </si>
  <si>
    <t>STAN</t>
  </si>
  <si>
    <t>LEAG</t>
  </si>
  <si>
    <t>LEPA</t>
  </si>
  <si>
    <t>BASS</t>
  </si>
  <si>
    <t>FIER</t>
  </si>
  <si>
    <t>SPP1</t>
  </si>
  <si>
    <t>SPP2</t>
  </si>
  <si>
    <t>SPP3</t>
  </si>
  <si>
    <t>PLAN</t>
  </si>
  <si>
    <t>PANN</t>
  </si>
  <si>
    <t>VAA2</t>
  </si>
  <si>
    <t>VAA3</t>
  </si>
  <si>
    <t>VAA1</t>
  </si>
  <si>
    <t>CHL2</t>
  </si>
  <si>
    <t>SPH</t>
  </si>
  <si>
    <t>PANV</t>
  </si>
  <si>
    <t>RON1</t>
  </si>
  <si>
    <t>RON2</t>
  </si>
  <si>
    <t>HDC1</t>
  </si>
  <si>
    <t>HDC3</t>
  </si>
  <si>
    <t>CHMA</t>
  </si>
  <si>
    <t>LGCA</t>
  </si>
  <si>
    <t>RON3</t>
  </si>
  <si>
    <t>LCLE</t>
  </si>
  <si>
    <t>BSLL</t>
  </si>
  <si>
    <t>CONT</t>
  </si>
  <si>
    <t>CHAR</t>
  </si>
  <si>
    <t>SDI1</t>
  </si>
  <si>
    <t>SDI2</t>
  </si>
  <si>
    <t>HDC2</t>
  </si>
  <si>
    <t>VRON</t>
  </si>
  <si>
    <t>STGE</t>
  </si>
  <si>
    <t>MERE</t>
  </si>
  <si>
    <t>MELI</t>
  </si>
  <si>
    <t>FOR2</t>
  </si>
  <si>
    <t>PDO1</t>
  </si>
  <si>
    <t>FOR1</t>
  </si>
  <si>
    <t>SFR2</t>
  </si>
  <si>
    <t>SFR3</t>
  </si>
  <si>
    <t>ART1</t>
  </si>
  <si>
    <t>CDAR</t>
  </si>
  <si>
    <t>CALM</t>
  </si>
  <si>
    <t>BSLC</t>
  </si>
  <si>
    <t>TOUV</t>
  </si>
  <si>
    <t>PDS1</t>
  </si>
  <si>
    <t>PDS2</t>
  </si>
  <si>
    <t>MORL</t>
  </si>
  <si>
    <t>ZOND</t>
  </si>
  <si>
    <t>VDMO</t>
  </si>
  <si>
    <t>MDB1</t>
  </si>
  <si>
    <t>MDB2</t>
  </si>
  <si>
    <t>VAM1</t>
  </si>
  <si>
    <t>VAM2</t>
  </si>
  <si>
    <t>PDBE</t>
  </si>
  <si>
    <t>ART2</t>
  </si>
  <si>
    <t>CHDG</t>
  </si>
  <si>
    <t>IDBO</t>
  </si>
  <si>
    <t>HDCO</t>
  </si>
  <si>
    <t>COBL</t>
  </si>
  <si>
    <t>LEPE</t>
  </si>
  <si>
    <t>BTN1</t>
  </si>
  <si>
    <t>BTN2</t>
  </si>
  <si>
    <t>CATE</t>
  </si>
  <si>
    <t>SCRI</t>
  </si>
  <si>
    <t>PBBF</t>
  </si>
  <si>
    <t>ESDB</t>
  </si>
  <si>
    <t>CLRE</t>
  </si>
  <si>
    <t>BAZO</t>
  </si>
  <si>
    <t>EPES</t>
  </si>
  <si>
    <t>PESO</t>
  </si>
  <si>
    <t>SCCC</t>
  </si>
  <si>
    <t>LGBO</t>
  </si>
  <si>
    <t>REC-REP</t>
  </si>
  <si>
    <t>REEJ</t>
  </si>
  <si>
    <t>BDFO</t>
  </si>
  <si>
    <t>REBO</t>
  </si>
  <si>
    <t>PREV</t>
  </si>
  <si>
    <t>MARC</t>
  </si>
  <si>
    <t>BORI</t>
  </si>
  <si>
    <t>OCTH</t>
  </si>
  <si>
    <t>BODE</t>
  </si>
  <si>
    <t>COCOR</t>
  </si>
  <si>
    <t>CACHE</t>
  </si>
  <si>
    <t>CRUI</t>
  </si>
  <si>
    <t>SEDCA</t>
  </si>
  <si>
    <t>STAND-RE</t>
  </si>
  <si>
    <t>LMHE</t>
  </si>
  <si>
    <t>HELF</t>
  </si>
  <si>
    <t>names</t>
  </si>
  <si>
    <t>Ménétréols Renardiére (La vallée 2)</t>
  </si>
  <si>
    <t>Ménétréols Les chênes (La vallée 3)</t>
  </si>
  <si>
    <t>Ménétréols Lizeray (La vallée 4)</t>
  </si>
  <si>
    <t>MELC</t>
  </si>
  <si>
    <t>Avignonet</t>
  </si>
  <si>
    <t>Chépy</t>
  </si>
  <si>
    <t>Nibas</t>
  </si>
  <si>
    <t>Ally Bessadous</t>
  </si>
  <si>
    <t>Ally Mercoeur</t>
  </si>
  <si>
    <t>Ally Monteil</t>
  </si>
  <si>
    <t>Ally Verseilles</t>
  </si>
  <si>
    <t>Plouguin</t>
  </si>
  <si>
    <t>La Citadelle</t>
  </si>
  <si>
    <t>Saint André</t>
  </si>
  <si>
    <t>Avignonet II</t>
  </si>
  <si>
    <t>Leign ar Gasprenn</t>
  </si>
  <si>
    <t>Fierville(Vaux des Roques)</t>
  </si>
  <si>
    <t>St Patrick Pernois 1</t>
  </si>
  <si>
    <t>St Patrick Pernois 2</t>
  </si>
  <si>
    <t>St Patrick Pernois 3</t>
  </si>
  <si>
    <t>St Patrick Hermin</t>
  </si>
  <si>
    <t>Pannecé La Vallière</t>
  </si>
  <si>
    <t>Vallée d'Arce 3 (NU)</t>
  </si>
  <si>
    <t>Vallée d'Arce 2 (NY)</t>
  </si>
  <si>
    <t>Vallée d'Arce 1 (DR)</t>
  </si>
  <si>
    <t>Cham Longe II</t>
  </si>
  <si>
    <t>Chasse Marée</t>
  </si>
  <si>
    <t>Le Grand Camp</t>
  </si>
  <si>
    <t>Les Clérimois</t>
  </si>
  <si>
    <t>Boralex Solaire Lauragais SAS(Avignonet-Lauragais PV)</t>
  </si>
  <si>
    <t>Coulonges (NT)</t>
  </si>
  <si>
    <t>COCP</t>
  </si>
  <si>
    <t>Coulonges (CP)</t>
  </si>
  <si>
    <t>COCL</t>
  </si>
  <si>
    <t>Coulonges (CL)</t>
  </si>
  <si>
    <t>SdlL1</t>
  </si>
  <si>
    <t>SdlL2</t>
  </si>
  <si>
    <t>Vron</t>
  </si>
  <si>
    <t>St Georges (La Vallée 1)</t>
  </si>
  <si>
    <t>Fortel 2</t>
  </si>
  <si>
    <t>Fortel 1</t>
  </si>
  <si>
    <t>Pays d'Othe 1</t>
  </si>
  <si>
    <t>St François Roye 2</t>
  </si>
  <si>
    <t>St François Roye 3</t>
  </si>
  <si>
    <t>Calmont (Laur Eole Energie )</t>
  </si>
  <si>
    <t>Boralex Solaire Les Cigalettes SAS (Montfort)</t>
  </si>
  <si>
    <t>Voie des monts</t>
  </si>
  <si>
    <t>Monts de Bagny 1</t>
  </si>
  <si>
    <t>Monts de Bagny 2</t>
  </si>
  <si>
    <t>Val au Moines 1</t>
  </si>
  <si>
    <t>Val au Moines 2</t>
  </si>
  <si>
    <t>Chemin de Grès (CdG)</t>
  </si>
  <si>
    <t>Inter deux bos (MET)</t>
  </si>
  <si>
    <t>Haut de Comble (HC)</t>
  </si>
  <si>
    <t xml:space="preserve">Basse Thiérache Nord 1 </t>
  </si>
  <si>
    <t>Basse Thiérache Nord 2</t>
  </si>
  <si>
    <t>Le Catésis (CAT)</t>
  </si>
  <si>
    <t>Seuil du Cambrésis- Ribecourt (RIB)</t>
  </si>
  <si>
    <t>Parc du Santerre (XSAN)</t>
  </si>
  <si>
    <t>PBF Blanches Fosses</t>
  </si>
  <si>
    <t>Extension seuil de Bapaume XSB</t>
  </si>
  <si>
    <t>Cham Longe Repowering</t>
  </si>
  <si>
    <t>Extension plaine d'Escrebieux XPE</t>
  </si>
  <si>
    <t>Peyrolles solaire</t>
  </si>
  <si>
    <t>Saint Christophe - Clé des champs</t>
  </si>
  <si>
    <t>La Grande Borne (LGB)</t>
  </si>
  <si>
    <t>Repowering Reclainville</t>
  </si>
  <si>
    <t>Repowering Evit Et Josaphats</t>
  </si>
  <si>
    <t>Bois des Fontaines</t>
  </si>
  <si>
    <t>Repowering Bougainville</t>
  </si>
  <si>
    <t>Bois Ricart</t>
  </si>
  <si>
    <t>Ouest Château-Thierry (OCT)*</t>
  </si>
  <si>
    <t>Coucouron (Laoune)</t>
  </si>
  <si>
    <t>Caumont-Chériennes (CC)</t>
  </si>
  <si>
    <t>Seuil du Cambrésis (RIB2)</t>
  </si>
  <si>
    <t>Helfaut (SSO)</t>
  </si>
  <si>
    <t>Repowering St-André</t>
  </si>
  <si>
    <t>Le Moulin d'Hestrus (LMH-62)</t>
  </si>
  <si>
    <t>date_msi</t>
  </si>
  <si>
    <t>Alias</t>
  </si>
  <si>
    <t>MAZAG</t>
  </si>
  <si>
    <t>Mazagran</t>
  </si>
  <si>
    <t>MTDBII-RE</t>
  </si>
  <si>
    <t>Repowering Mont de Bézard II</t>
  </si>
  <si>
    <t>NOYE</t>
  </si>
  <si>
    <t>Noyers Bucamps NOB</t>
  </si>
  <si>
    <t>SE01</t>
  </si>
  <si>
    <t>AURA19</t>
  </si>
  <si>
    <t>GO03</t>
  </si>
  <si>
    <t>GO02</t>
  </si>
  <si>
    <t>GO01</t>
  </si>
  <si>
    <t>KEI3</t>
  </si>
  <si>
    <t>ECO1</t>
  </si>
  <si>
    <t>Extension seuil de Bapaume (XSB)</t>
  </si>
  <si>
    <t xml:space="preserve">Blanches Fosses PBF </t>
  </si>
  <si>
    <t>Extension plaine d'Escrebieux (XPE)</t>
  </si>
  <si>
    <t>SDA1</t>
  </si>
  <si>
    <t xml:space="preserve">Sources de l'Ancre 1 </t>
  </si>
  <si>
    <t>SDA2</t>
  </si>
  <si>
    <t>Sources de l'Ancre 2</t>
  </si>
  <si>
    <t>Bois des Fontaines (BDF)</t>
  </si>
  <si>
    <t>Boralex Solaire Lauragais SAS</t>
  </si>
  <si>
    <t>Chemin de Grès</t>
  </si>
  <si>
    <t>Fierville</t>
  </si>
  <si>
    <t>Repowering Evit Et Josaphats (EEJ-R)</t>
  </si>
  <si>
    <t>Repowering Bougainville (BGV-R)</t>
  </si>
  <si>
    <t>Repowering Reclainville (RCL-R)</t>
  </si>
  <si>
    <t>ECO3</t>
  </si>
  <si>
    <t>chépy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</si>
</sst>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m\-yy;@"/>
    <numFmt numFmtId="165" formatCode="0.0"/>
    <numFmt numFmtId="166" formatCode="0.0%"/>
    <numFmt numFmtId="167" formatCode="#,##0.0"/>
    <numFmt numFmtId="168" formatCode="[$-40C]mmm\-yy;@"/>
    <numFmt numFmtId="169" formatCode="dd/mm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FFFFFF"/>
      <name val="Helvetica"/>
    </font>
    <font>
      <b/>
      <sz val="7.5"/>
      <color rgb="FFFFFFFF"/>
      <name val="Helvetica"/>
    </font>
    <font>
      <sz val="7.5"/>
      <color rgb="FF000000"/>
      <name val="Helvetica"/>
    </font>
    <font>
      <sz val="10"/>
      <name val="Arial"/>
      <family val="2"/>
    </font>
    <font>
      <sz val="7.5"/>
      <color rgb="FF000000"/>
      <name val="Helvetica"/>
      <family val="2"/>
    </font>
    <font>
      <b/>
      <sz val="7.5"/>
      <color theme="0"/>
      <name val="Helvetica"/>
    </font>
    <font>
      <b/>
      <sz val="7.5"/>
      <color rgb="FF000000"/>
      <name val="Helvetica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1C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5" fillId="0" borderId="0"/>
  </cellStyleXfs>
  <cellXfs count="76">
    <xf numFmtId="0" fontId="0" fillId="0" borderId="0" xfId="0"/>
    <xf numFmtId="166" fontId="0" fillId="0" borderId="0" xfId="1" applyNumberFormat="1" applyFont="1"/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7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168" fontId="4" fillId="0" borderId="0" xfId="0" applyNumberFormat="1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9" fontId="4" fillId="0" borderId="0" xfId="1" applyFont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3" fontId="8" fillId="0" borderId="10" xfId="0" applyNumberFormat="1" applyFont="1" applyBorder="1" applyAlignment="1">
      <alignment horizontal="center" vertical="center" wrapText="1"/>
    </xf>
    <xf numFmtId="9" fontId="8" fillId="0" borderId="10" xfId="1" applyFont="1" applyBorder="1" applyAlignment="1">
      <alignment horizontal="center" vertical="center" wrapText="1"/>
    </xf>
    <xf numFmtId="10" fontId="0" fillId="0" borderId="0" xfId="0" applyNumberFormat="1"/>
    <xf numFmtId="9" fontId="4" fillId="3" borderId="0" xfId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68" fontId="4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167" fontId="4" fillId="3" borderId="0" xfId="0" applyNumberFormat="1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7" fontId="4" fillId="0" borderId="0" xfId="1" applyNumberFormat="1" applyFont="1" applyAlignment="1">
      <alignment horizontal="center" vertical="center" wrapText="1"/>
    </xf>
    <xf numFmtId="167" fontId="4" fillId="3" borderId="0" xfId="1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4" fillId="5" borderId="0" xfId="0" applyFont="1" applyFill="1" applyAlignment="1">
      <alignment horizontal="center" vertical="center" wrapText="1"/>
    </xf>
    <xf numFmtId="3" fontId="4" fillId="5" borderId="0" xfId="0" applyNumberFormat="1" applyFont="1" applyFill="1" applyAlignment="1">
      <alignment horizontal="center" vertical="center" wrapText="1"/>
    </xf>
    <xf numFmtId="3" fontId="6" fillId="5" borderId="0" xfId="0" applyNumberFormat="1" applyFont="1" applyFill="1" applyAlignment="1">
      <alignment horizontal="center" vertical="center" wrapText="1"/>
    </xf>
    <xf numFmtId="9" fontId="4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3" fontId="8" fillId="5" borderId="10" xfId="0" applyNumberFormat="1" applyFont="1" applyFill="1" applyBorder="1" applyAlignment="1">
      <alignment horizontal="center" vertical="center" wrapText="1"/>
    </xf>
    <xf numFmtId="3" fontId="4" fillId="6" borderId="0" xfId="0" applyNumberFormat="1" applyFont="1" applyFill="1" applyAlignment="1">
      <alignment horizontal="center" vertical="center" wrapText="1"/>
    </xf>
    <xf numFmtId="3" fontId="8" fillId="6" borderId="10" xfId="0" applyNumberFormat="1" applyFont="1" applyFill="1" applyBorder="1" applyAlignment="1">
      <alignment horizontal="center" vertical="center" wrapText="1"/>
    </xf>
    <xf numFmtId="9" fontId="4" fillId="6" borderId="0" xfId="1" applyFont="1" applyFill="1" applyAlignment="1">
      <alignment horizontal="center" vertical="center" wrapText="1"/>
    </xf>
    <xf numFmtId="167" fontId="4" fillId="0" borderId="0" xfId="1" applyNumberFormat="1" applyFont="1" applyFill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67" fontId="4" fillId="4" borderId="0" xfId="1" applyNumberFormat="1" applyFont="1" applyFill="1" applyAlignment="1">
      <alignment horizontal="center" vertical="center" wrapText="1"/>
    </xf>
    <xf numFmtId="169" fontId="4" fillId="0" borderId="0" xfId="0" applyNumberFormat="1" applyFont="1" applyAlignment="1">
      <alignment horizontal="center" vertical="center" wrapText="1"/>
    </xf>
    <xf numFmtId="169" fontId="4" fillId="4" borderId="0" xfId="0" applyNumberFormat="1" applyFont="1" applyFill="1" applyAlignment="1">
      <alignment horizontal="center" vertical="center" wrapText="1"/>
    </xf>
    <xf numFmtId="169" fontId="4" fillId="3" borderId="0" xfId="0" applyNumberFormat="1" applyFont="1" applyFill="1" applyAlignment="1">
      <alignment horizontal="center" vertical="center" wrapText="1"/>
    </xf>
    <xf numFmtId="17" fontId="0" fillId="0" borderId="0" xfId="0" applyNumberFormat="1"/>
    <xf numFmtId="0" fontId="3" fillId="2" borderId="14" xfId="0" applyFont="1" applyFill="1" applyBorder="1" applyAlignment="1">
      <alignment horizontal="center" vertical="center" wrapText="1"/>
    </xf>
    <xf numFmtId="0" fontId="0" fillId="7" borderId="0" xfId="0" applyFill="1"/>
    <xf numFmtId="0" fontId="4" fillId="7" borderId="0" xfId="0" applyFont="1" applyFill="1" applyAlignment="1">
      <alignment horizontal="center" vertical="center" wrapText="1"/>
    </xf>
    <xf numFmtId="168" fontId="4" fillId="7" borderId="0" xfId="0" applyNumberFormat="1" applyFont="1" applyFill="1" applyAlignment="1">
      <alignment horizontal="center" vertical="center" wrapText="1"/>
    </xf>
    <xf numFmtId="9" fontId="4" fillId="7" borderId="0" xfId="1" applyFont="1" applyFill="1" applyAlignment="1">
      <alignment horizontal="center" vertical="center" wrapText="1"/>
    </xf>
    <xf numFmtId="3" fontId="4" fillId="7" borderId="0" xfId="0" applyNumberFormat="1" applyFont="1" applyFill="1" applyAlignment="1">
      <alignment horizontal="center" vertical="center" wrapText="1"/>
    </xf>
    <xf numFmtId="167" fontId="4" fillId="7" borderId="0" xfId="0" applyNumberFormat="1" applyFont="1" applyFill="1" applyAlignment="1">
      <alignment horizontal="center" vertical="center" wrapText="1"/>
    </xf>
    <xf numFmtId="169" fontId="4" fillId="7" borderId="0" xfId="0" applyNumberFormat="1" applyFont="1" applyFill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0" fontId="10" fillId="8" borderId="0" xfId="0" applyFont="1" applyFill="1"/>
    <xf numFmtId="0" fontId="12" fillId="0" borderId="0" xfId="0" applyFont="1"/>
    <xf numFmtId="0" fontId="13" fillId="0" borderId="0" xfId="0" applyFont="1"/>
    <xf numFmtId="14" fontId="13" fillId="0" borderId="0" xfId="0" applyNumberFormat="1" applyFont="1"/>
    <xf numFmtId="14" fontId="11" fillId="0" borderId="0" xfId="0" applyNumberFormat="1" applyFont="1"/>
    <xf numFmtId="14" fontId="12" fillId="0" borderId="0" xfId="0" applyNumberFormat="1" applyFont="1"/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Normal" xfId="0" builtinId="0"/>
    <cellStyle name="Normal 22" xfId="2" xr:uid="{00000000-0005-0000-0000-000001000000}"/>
    <cellStyle name="Percent" xfId="1" builtinId="5"/>
  </cellStyles>
  <dxfs count="0"/>
  <tableStyles count="0" defaultTableStyle="TableStyleMedium9" defaultPivotStyle="PivotStyleLight16"/>
  <colors>
    <mruColors>
      <color rgb="FF0081C6"/>
      <color rgb="FF82D4FF"/>
      <color rgb="FF00D661"/>
      <color rgb="FF95B3D7"/>
      <color rgb="FF7F7F7F"/>
      <color rgb="FF006195"/>
      <color rgb="FF004163"/>
      <color rgb="FF006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0F-1FF3-48E0-A8D6-9A26FA885DFB}">
  <dimension ref="A1:AD128"/>
  <sheetViews>
    <sheetView showGridLines="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1" sqref="L11"/>
    </sheetView>
  </sheetViews>
  <sheetFormatPr defaultColWidth="11.42578125" defaultRowHeight="11.25" x14ac:dyDescent="0.2"/>
  <cols>
    <col min="1" max="1" width="11.42578125" style="58"/>
    <col min="2" max="2" width="31.140625" style="58" customWidth="1"/>
    <col min="3" max="16384" width="11.42578125" style="58"/>
  </cols>
  <sheetData>
    <row r="1" spans="1:30" s="63" customFormat="1" x14ac:dyDescent="0.2">
      <c r="A1" s="63" t="s">
        <v>211</v>
      </c>
      <c r="B1" s="63" t="s">
        <v>393</v>
      </c>
      <c r="C1" s="63" t="s">
        <v>180</v>
      </c>
      <c r="D1" s="63" t="s">
        <v>1</v>
      </c>
      <c r="E1" s="63" t="s">
        <v>2</v>
      </c>
      <c r="F1" s="64" t="s">
        <v>3</v>
      </c>
      <c r="G1" s="63" t="s">
        <v>4</v>
      </c>
      <c r="H1" s="63" t="s">
        <v>5</v>
      </c>
      <c r="I1" s="63" t="s">
        <v>6</v>
      </c>
      <c r="J1" s="63" t="s">
        <v>7</v>
      </c>
      <c r="K1" s="63" t="s">
        <v>8</v>
      </c>
      <c r="L1" s="63" t="s">
        <v>9</v>
      </c>
      <c r="M1" s="63" t="s">
        <v>10</v>
      </c>
      <c r="N1" s="63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4" t="s">
        <v>21</v>
      </c>
      <c r="Y1" s="63" t="s">
        <v>22</v>
      </c>
      <c r="Z1" s="63" t="s">
        <v>163</v>
      </c>
      <c r="AA1" s="63" t="s">
        <v>173</v>
      </c>
      <c r="AB1" s="63" t="s">
        <v>392</v>
      </c>
      <c r="AC1" s="63" t="s">
        <v>166</v>
      </c>
    </row>
    <row r="2" spans="1:30" x14ac:dyDescent="0.2">
      <c r="A2" s="58" t="s">
        <v>216</v>
      </c>
      <c r="B2" s="58" t="s">
        <v>321</v>
      </c>
      <c r="C2" s="58" t="s">
        <v>29</v>
      </c>
      <c r="D2" s="58" t="s">
        <v>183</v>
      </c>
      <c r="E2" s="58" t="s">
        <v>24</v>
      </c>
      <c r="F2" s="59">
        <v>38711</v>
      </c>
      <c r="G2" s="58">
        <v>2005</v>
      </c>
      <c r="H2" s="58">
        <v>8.6999999999999993</v>
      </c>
      <c r="I2" s="58">
        <v>1</v>
      </c>
      <c r="J2" s="58">
        <f t="shared" ref="J2:J33" si="0">H2*I2</f>
        <v>8.6999999999999993</v>
      </c>
      <c r="K2" s="58">
        <v>1715.3846410256408</v>
      </c>
      <c r="L2" s="58">
        <v>66.900000999999989</v>
      </c>
      <c r="M2" s="58">
        <v>2.2728430153535952E-2</v>
      </c>
      <c r="N2" s="58">
        <v>1.5205319999999851</v>
      </c>
      <c r="O2" s="58" t="s">
        <v>25</v>
      </c>
      <c r="P2" s="58">
        <v>99.7</v>
      </c>
      <c r="Q2" s="58">
        <v>6.6699300996999993</v>
      </c>
      <c r="R2" s="58">
        <v>0.15159704039999852</v>
      </c>
      <c r="S2" s="58">
        <v>2015</v>
      </c>
      <c r="T2" s="58">
        <v>99.7</v>
      </c>
      <c r="U2" s="58">
        <v>6.6699300996999993</v>
      </c>
      <c r="V2" s="58">
        <v>6.6699300996999984</v>
      </c>
      <c r="W2" s="58">
        <v>6.5183330592999997</v>
      </c>
      <c r="X2" s="59">
        <v>44189</v>
      </c>
      <c r="Y2" s="58">
        <v>2020</v>
      </c>
      <c r="Z2" s="58" t="s">
        <v>165</v>
      </c>
      <c r="AA2" s="58" t="s">
        <v>174</v>
      </c>
      <c r="AB2" s="59">
        <v>47118</v>
      </c>
      <c r="AC2" s="58">
        <v>2031</v>
      </c>
      <c r="AD2" s="58" t="s">
        <v>167</v>
      </c>
    </row>
    <row r="3" spans="1:30" x14ac:dyDescent="0.2">
      <c r="A3" s="58" t="s">
        <v>217</v>
      </c>
      <c r="B3" s="58" t="s">
        <v>322</v>
      </c>
      <c r="D3" s="58" t="s">
        <v>184</v>
      </c>
      <c r="E3" s="58" t="s">
        <v>24</v>
      </c>
      <c r="F3" s="59">
        <v>38711</v>
      </c>
      <c r="G3" s="58">
        <v>2005</v>
      </c>
      <c r="H3" s="58">
        <v>5.74</v>
      </c>
      <c r="I3" s="58">
        <v>1</v>
      </c>
      <c r="J3" s="58">
        <f t="shared" si="0"/>
        <v>5.74</v>
      </c>
      <c r="K3" s="58">
        <v>1715.3846410256408</v>
      </c>
      <c r="O3" s="58" t="s">
        <v>25</v>
      </c>
      <c r="S3" s="58">
        <v>2015</v>
      </c>
      <c r="X3" s="59">
        <v>44190</v>
      </c>
      <c r="Y3" s="58">
        <v>2020</v>
      </c>
      <c r="AB3" s="59">
        <v>47118</v>
      </c>
    </row>
    <row r="4" spans="1:30" x14ac:dyDescent="0.2">
      <c r="A4" s="58" t="s">
        <v>218</v>
      </c>
      <c r="B4" s="58" t="s">
        <v>323</v>
      </c>
      <c r="D4" s="58" t="s">
        <v>185</v>
      </c>
      <c r="E4" s="58" t="s">
        <v>24</v>
      </c>
      <c r="F4" s="59">
        <v>38711</v>
      </c>
      <c r="G4" s="58">
        <v>2005</v>
      </c>
      <c r="H4" s="58">
        <v>7.46</v>
      </c>
      <c r="I4" s="58">
        <v>1</v>
      </c>
      <c r="J4" s="58">
        <f t="shared" si="0"/>
        <v>7.46</v>
      </c>
      <c r="K4" s="58">
        <v>1715.3846410256408</v>
      </c>
      <c r="O4" s="58" t="s">
        <v>25</v>
      </c>
      <c r="S4" s="58">
        <v>2015</v>
      </c>
      <c r="X4" s="59">
        <v>44191</v>
      </c>
      <c r="Y4" s="58">
        <v>2020</v>
      </c>
      <c r="AB4" s="59">
        <v>47118</v>
      </c>
    </row>
    <row r="5" spans="1:30" s="60" customFormat="1" x14ac:dyDescent="0.2">
      <c r="C5" s="60" t="s">
        <v>28</v>
      </c>
      <c r="D5" s="60" t="s">
        <v>28</v>
      </c>
      <c r="E5" s="60" t="s">
        <v>24</v>
      </c>
      <c r="F5" s="65">
        <v>38632</v>
      </c>
      <c r="G5" s="60">
        <v>2005</v>
      </c>
      <c r="H5" s="60">
        <v>12</v>
      </c>
      <c r="I5" s="60">
        <v>1</v>
      </c>
      <c r="J5" s="58">
        <f t="shared" si="0"/>
        <v>12</v>
      </c>
      <c r="K5" s="60">
        <v>1558.3332499999997</v>
      </c>
      <c r="L5" s="60">
        <v>18.699998999999995</v>
      </c>
      <c r="M5" s="60">
        <v>0.28917761249699148</v>
      </c>
      <c r="N5" s="60">
        <v>5.4076210645161265</v>
      </c>
      <c r="O5" s="60" t="s">
        <v>25</v>
      </c>
      <c r="P5" s="60">
        <v>98.4</v>
      </c>
      <c r="Q5" s="60">
        <v>1.8400799015999996</v>
      </c>
      <c r="R5" s="60">
        <v>0.53210991274838682</v>
      </c>
      <c r="S5" s="60">
        <v>2015</v>
      </c>
      <c r="T5" s="60">
        <v>98.4</v>
      </c>
      <c r="U5" s="60">
        <v>1.8400799015999996</v>
      </c>
      <c r="V5" s="60">
        <v>1.8400799015999996</v>
      </c>
      <c r="W5" s="60">
        <v>1.3079699888516128</v>
      </c>
      <c r="X5" s="65">
        <v>44110</v>
      </c>
      <c r="Y5" s="60">
        <v>2020</v>
      </c>
      <c r="Z5" s="60" t="s">
        <v>165</v>
      </c>
      <c r="AA5" s="60" t="s">
        <v>175</v>
      </c>
    </row>
    <row r="6" spans="1:30" x14ac:dyDescent="0.2">
      <c r="A6" s="58" t="s">
        <v>219</v>
      </c>
      <c r="B6" s="58" t="s">
        <v>324</v>
      </c>
      <c r="D6" s="58" t="s">
        <v>186</v>
      </c>
      <c r="E6" s="58" t="s">
        <v>24</v>
      </c>
      <c r="F6" s="59">
        <v>38711</v>
      </c>
      <c r="G6" s="58">
        <v>2005</v>
      </c>
      <c r="H6" s="58">
        <v>9.0299999999999994</v>
      </c>
      <c r="I6" s="58">
        <v>1</v>
      </c>
      <c r="J6" s="58">
        <f t="shared" si="0"/>
        <v>9.0299999999999994</v>
      </c>
      <c r="K6" s="58">
        <v>1715.3846410256408</v>
      </c>
      <c r="O6" s="58" t="s">
        <v>25</v>
      </c>
      <c r="S6" s="58">
        <v>2015</v>
      </c>
      <c r="X6" s="59">
        <v>44192</v>
      </c>
      <c r="Y6" s="58">
        <v>2020</v>
      </c>
      <c r="AB6" s="59">
        <v>47118</v>
      </c>
    </row>
    <row r="7" spans="1:30" x14ac:dyDescent="0.2">
      <c r="A7" s="58" t="s">
        <v>264</v>
      </c>
      <c r="B7" s="58" t="s">
        <v>203</v>
      </c>
      <c r="C7" s="58" t="s">
        <v>104</v>
      </c>
      <c r="D7" s="58" t="s">
        <v>203</v>
      </c>
      <c r="E7" s="58" t="s">
        <v>24</v>
      </c>
      <c r="F7" s="59">
        <v>43060</v>
      </c>
      <c r="G7" s="58">
        <v>2017</v>
      </c>
      <c r="H7" s="58">
        <v>13.1</v>
      </c>
      <c r="I7" s="58">
        <v>1</v>
      </c>
      <c r="J7" s="58">
        <f t="shared" si="0"/>
        <v>13.1</v>
      </c>
      <c r="K7" s="58">
        <v>2607.1861038961038</v>
      </c>
      <c r="L7" s="58">
        <v>60.225999000000002</v>
      </c>
      <c r="M7" s="58">
        <v>0.13873717229663543</v>
      </c>
      <c r="N7" s="58">
        <v>8.3555847999999937</v>
      </c>
      <c r="O7" s="58" t="s">
        <v>25</v>
      </c>
      <c r="P7" s="58">
        <v>85.8</v>
      </c>
      <c r="Q7" s="58">
        <v>5.1673907141999997</v>
      </c>
      <c r="R7" s="58">
        <v>0.71690917583999947</v>
      </c>
      <c r="S7" s="58">
        <v>2027</v>
      </c>
      <c r="T7" s="58">
        <v>76.580218376623407</v>
      </c>
      <c r="U7" s="58">
        <v>4.6121201553703033</v>
      </c>
      <c r="V7" s="58">
        <v>5.090354047008395</v>
      </c>
      <c r="W7" s="58">
        <v>3.9722476467219079</v>
      </c>
      <c r="X7" s="59">
        <v>48538</v>
      </c>
      <c r="Y7" s="58">
        <v>2032</v>
      </c>
    </row>
    <row r="8" spans="1:30" x14ac:dyDescent="0.2">
      <c r="A8" s="58" t="s">
        <v>279</v>
      </c>
      <c r="B8" s="58" t="s">
        <v>202</v>
      </c>
      <c r="D8" s="58" t="s">
        <v>202</v>
      </c>
      <c r="E8" s="58" t="s">
        <v>24</v>
      </c>
      <c r="F8" s="59">
        <v>43060</v>
      </c>
      <c r="G8" s="58">
        <v>2017</v>
      </c>
      <c r="H8" s="58">
        <v>10</v>
      </c>
      <c r="I8" s="58">
        <v>1</v>
      </c>
      <c r="J8" s="58">
        <f t="shared" si="0"/>
        <v>10</v>
      </c>
      <c r="K8" s="58">
        <v>2607.1861038961038</v>
      </c>
      <c r="O8" s="58" t="s">
        <v>25</v>
      </c>
      <c r="S8" s="58">
        <v>2027</v>
      </c>
      <c r="X8" s="59">
        <v>48538</v>
      </c>
      <c r="Y8" s="58">
        <v>2032</v>
      </c>
    </row>
    <row r="9" spans="1:30" x14ac:dyDescent="0.2">
      <c r="A9" s="58" t="s">
        <v>212</v>
      </c>
      <c r="B9" s="58" t="s">
        <v>318</v>
      </c>
      <c r="C9" s="58" t="s">
        <v>23</v>
      </c>
      <c r="D9" s="58" t="s">
        <v>23</v>
      </c>
      <c r="E9" s="58" t="s">
        <v>24</v>
      </c>
      <c r="F9" s="59">
        <v>37561</v>
      </c>
      <c r="G9" s="58">
        <v>2002</v>
      </c>
      <c r="H9" s="58">
        <v>8</v>
      </c>
      <c r="I9" s="58">
        <v>1</v>
      </c>
      <c r="J9" s="58">
        <f t="shared" si="0"/>
        <v>8</v>
      </c>
      <c r="K9" s="58">
        <v>2125</v>
      </c>
      <c r="L9" s="58">
        <v>17</v>
      </c>
      <c r="M9" s="58">
        <v>0.18136868823529412</v>
      </c>
      <c r="N9" s="58">
        <v>3.0832676999999999</v>
      </c>
      <c r="O9" s="58" t="s">
        <v>25</v>
      </c>
      <c r="P9" s="58">
        <v>98.4</v>
      </c>
      <c r="Q9" s="58">
        <v>1.6728000000000003</v>
      </c>
      <c r="R9" s="58">
        <v>0.30339354167999999</v>
      </c>
      <c r="S9" s="58">
        <v>2012</v>
      </c>
      <c r="T9" s="58">
        <v>98.4</v>
      </c>
      <c r="U9" s="58">
        <v>1.6728000000000003</v>
      </c>
      <c r="V9" s="58">
        <v>1.6728000000000003</v>
      </c>
      <c r="W9" s="58">
        <v>1.3694064583199999</v>
      </c>
      <c r="X9" s="59">
        <v>43039</v>
      </c>
      <c r="Y9" s="58">
        <v>2017</v>
      </c>
      <c r="Z9" s="58" t="s">
        <v>164</v>
      </c>
    </row>
    <row r="10" spans="1:30" s="60" customFormat="1" x14ac:dyDescent="0.2">
      <c r="C10" s="60" t="s">
        <v>31</v>
      </c>
      <c r="D10" s="60" t="s">
        <v>206</v>
      </c>
      <c r="E10" s="60" t="s">
        <v>24</v>
      </c>
      <c r="F10" s="65">
        <v>38711</v>
      </c>
      <c r="G10" s="60">
        <v>2005</v>
      </c>
      <c r="H10" s="60">
        <v>18</v>
      </c>
      <c r="I10" s="60">
        <v>1</v>
      </c>
      <c r="J10" s="58">
        <f t="shared" si="0"/>
        <v>18</v>
      </c>
      <c r="K10" s="60">
        <v>3033.3333333333335</v>
      </c>
      <c r="L10" s="60">
        <v>54.6</v>
      </c>
      <c r="M10" s="60">
        <v>1.6306274370790613E-2</v>
      </c>
      <c r="N10" s="60">
        <v>0.89032258064516745</v>
      </c>
      <c r="O10" s="60" t="s">
        <v>25</v>
      </c>
      <c r="P10" s="60">
        <v>56.6</v>
      </c>
      <c r="Q10" s="60">
        <v>3.09036</v>
      </c>
      <c r="R10" s="60">
        <v>5.0392258064516478E-2</v>
      </c>
      <c r="S10" s="60">
        <v>2015</v>
      </c>
      <c r="T10" s="60">
        <v>56.333333333333314</v>
      </c>
      <c r="U10" s="60">
        <v>3.0757999999999992</v>
      </c>
      <c r="V10" s="60">
        <v>3.0901225806451618</v>
      </c>
      <c r="W10" s="60">
        <v>3.025645161290321</v>
      </c>
      <c r="X10" s="65">
        <v>44189</v>
      </c>
      <c r="Y10" s="60">
        <v>2020</v>
      </c>
      <c r="Z10" s="60" t="s">
        <v>165</v>
      </c>
      <c r="AA10" s="60" t="s">
        <v>175</v>
      </c>
    </row>
    <row r="11" spans="1:30" x14ac:dyDescent="0.2">
      <c r="D11" s="60" t="s">
        <v>207</v>
      </c>
      <c r="E11" s="58" t="s">
        <v>24</v>
      </c>
      <c r="F11" s="59"/>
      <c r="I11" s="58">
        <v>1</v>
      </c>
      <c r="J11" s="58">
        <f t="shared" si="0"/>
        <v>0</v>
      </c>
      <c r="X11" s="59"/>
    </row>
    <row r="12" spans="1:30" x14ac:dyDescent="0.2">
      <c r="A12" s="58" t="s">
        <v>213</v>
      </c>
      <c r="B12" s="58" t="s">
        <v>328</v>
      </c>
      <c r="C12" s="58" t="s">
        <v>42</v>
      </c>
      <c r="D12" s="58" t="s">
        <v>42</v>
      </c>
      <c r="E12" s="58" t="s">
        <v>24</v>
      </c>
      <c r="F12" s="59">
        <v>39811</v>
      </c>
      <c r="G12" s="58">
        <v>2008</v>
      </c>
      <c r="H12" s="58">
        <v>4.5999999999999996</v>
      </c>
      <c r="I12" s="58">
        <v>1</v>
      </c>
      <c r="J12" s="58">
        <f t="shared" si="0"/>
        <v>4.5999999999999996</v>
      </c>
      <c r="K12" s="58">
        <v>2304.347826086957</v>
      </c>
      <c r="L12" s="58">
        <v>10.600000000000001</v>
      </c>
      <c r="M12" s="58">
        <v>6.0157455873403407E-3</v>
      </c>
      <c r="N12" s="58">
        <v>6.3766903225807622E-2</v>
      </c>
      <c r="O12" s="58" t="s">
        <v>25</v>
      </c>
      <c r="P12" s="58">
        <v>91.9</v>
      </c>
      <c r="Q12" s="58">
        <v>0.97414000000000023</v>
      </c>
      <c r="R12" s="58">
        <v>5.860178406451721E-3</v>
      </c>
      <c r="S12" s="58">
        <v>2018</v>
      </c>
      <c r="T12" s="58">
        <v>91.9</v>
      </c>
      <c r="U12" s="58">
        <v>0.97414000000000023</v>
      </c>
      <c r="V12" s="58">
        <v>0.97414000000000023</v>
      </c>
      <c r="W12" s="58">
        <v>0.96827982159354842</v>
      </c>
      <c r="X12" s="59">
        <v>45288</v>
      </c>
      <c r="Y12" s="58">
        <v>2023</v>
      </c>
      <c r="Z12" s="58" t="s">
        <v>164</v>
      </c>
      <c r="AC12" s="58">
        <v>2030</v>
      </c>
    </row>
    <row r="13" spans="1:30" s="60" customFormat="1" x14ac:dyDescent="0.2">
      <c r="C13" s="60" t="s">
        <v>34</v>
      </c>
      <c r="D13" s="60" t="s">
        <v>34</v>
      </c>
      <c r="E13" s="60" t="s">
        <v>24</v>
      </c>
      <c r="F13" s="65">
        <v>38954</v>
      </c>
      <c r="G13" s="60">
        <v>2006</v>
      </c>
      <c r="H13" s="60">
        <v>12</v>
      </c>
      <c r="I13" s="60">
        <v>1</v>
      </c>
      <c r="J13" s="58">
        <f t="shared" si="0"/>
        <v>12</v>
      </c>
      <c r="K13" s="60">
        <v>1958.333333333333</v>
      </c>
      <c r="L13" s="60">
        <v>23.499999999999996</v>
      </c>
      <c r="M13" s="60">
        <v>0.37706226355525047</v>
      </c>
      <c r="N13" s="60">
        <v>8.8609631935483844</v>
      </c>
      <c r="O13" s="60" t="s">
        <v>25</v>
      </c>
      <c r="P13" s="60">
        <v>95.1</v>
      </c>
      <c r="Q13" s="60">
        <v>2.2348499999999993</v>
      </c>
      <c r="R13" s="60">
        <v>0.84267759970645129</v>
      </c>
      <c r="S13" s="60">
        <v>2016</v>
      </c>
      <c r="T13" s="60">
        <v>95.1</v>
      </c>
      <c r="U13" s="60">
        <v>2.2348499999999993</v>
      </c>
      <c r="V13" s="60">
        <v>2.2348499999999993</v>
      </c>
      <c r="W13" s="60">
        <v>1.3921724002935483</v>
      </c>
      <c r="X13" s="65">
        <v>44432</v>
      </c>
      <c r="Y13" s="60">
        <v>2021</v>
      </c>
      <c r="Z13" s="60" t="s">
        <v>165</v>
      </c>
      <c r="AA13" s="60" t="s">
        <v>175</v>
      </c>
    </row>
    <row r="14" spans="1:30" s="60" customFormat="1" x14ac:dyDescent="0.2">
      <c r="C14" s="60" t="s">
        <v>35</v>
      </c>
      <c r="D14" s="60" t="s">
        <v>35</v>
      </c>
      <c r="E14" s="60" t="s">
        <v>24</v>
      </c>
      <c r="F14" s="65">
        <v>38954</v>
      </c>
      <c r="G14" s="60">
        <v>2006</v>
      </c>
      <c r="H14" s="60">
        <v>12</v>
      </c>
      <c r="I14" s="60">
        <v>1</v>
      </c>
      <c r="J14" s="58">
        <f t="shared" si="0"/>
        <v>12</v>
      </c>
      <c r="K14" s="60">
        <v>1983.3332499999999</v>
      </c>
      <c r="L14" s="60">
        <v>23.799999</v>
      </c>
      <c r="M14" s="60">
        <v>0.3766232199448627</v>
      </c>
      <c r="N14" s="60">
        <v>8.9636322580645125</v>
      </c>
      <c r="O14" s="60" t="s">
        <v>25</v>
      </c>
      <c r="P14" s="60">
        <v>95.1</v>
      </c>
      <c r="Q14" s="60">
        <v>2.2633799048999999</v>
      </c>
      <c r="R14" s="60">
        <v>0.8524414277419351</v>
      </c>
      <c r="S14" s="60">
        <v>2016</v>
      </c>
      <c r="T14" s="60">
        <v>95.1</v>
      </c>
      <c r="U14" s="60">
        <v>2.2633799048999999</v>
      </c>
      <c r="V14" s="60">
        <v>2.2633799048999999</v>
      </c>
      <c r="W14" s="60">
        <v>1.4109384771580646</v>
      </c>
      <c r="X14" s="65">
        <v>44432</v>
      </c>
      <c r="Y14" s="60">
        <v>2021</v>
      </c>
      <c r="Z14" s="60" t="s">
        <v>165</v>
      </c>
      <c r="AA14" s="60" t="s">
        <v>175</v>
      </c>
    </row>
    <row r="15" spans="1:30" x14ac:dyDescent="0.2">
      <c r="A15" s="58" t="s">
        <v>285</v>
      </c>
      <c r="B15" s="58" t="s">
        <v>368</v>
      </c>
      <c r="C15" s="58" t="s">
        <v>114</v>
      </c>
      <c r="D15" s="58" t="s">
        <v>204</v>
      </c>
      <c r="E15" s="58" t="s">
        <v>24</v>
      </c>
      <c r="F15" s="59">
        <v>43497</v>
      </c>
      <c r="G15" s="58">
        <v>2019</v>
      </c>
      <c r="H15" s="58">
        <v>12.8</v>
      </c>
      <c r="I15" s="58">
        <v>1</v>
      </c>
      <c r="J15" s="58">
        <f t="shared" si="0"/>
        <v>12.8</v>
      </c>
      <c r="K15" s="58">
        <v>2681.818181818182</v>
      </c>
      <c r="L15" s="58">
        <v>53.100000000000009</v>
      </c>
      <c r="M15" s="58">
        <v>0.87897040713694141</v>
      </c>
      <c r="N15" s="58">
        <v>46.673328618971595</v>
      </c>
      <c r="O15" s="58" t="s">
        <v>109</v>
      </c>
      <c r="P15" s="58">
        <v>82.52</v>
      </c>
      <c r="Q15" s="58">
        <v>4.3818120000000009</v>
      </c>
      <c r="R15" s="58">
        <v>3.8514830776375359</v>
      </c>
      <c r="S15" s="58">
        <v>2029</v>
      </c>
      <c r="T15" s="58">
        <v>72.290000000000006</v>
      </c>
      <c r="U15" s="58">
        <v>3.8385990000000012</v>
      </c>
      <c r="V15" s="58">
        <v>3.9043438482279216</v>
      </c>
      <c r="W15" s="58">
        <v>0.46458407413454406</v>
      </c>
      <c r="X15" s="59">
        <v>48975</v>
      </c>
      <c r="Y15" s="58">
        <v>2034</v>
      </c>
    </row>
    <row r="16" spans="1:30" s="60" customFormat="1" x14ac:dyDescent="0.2">
      <c r="C16" s="60" t="s">
        <v>37</v>
      </c>
      <c r="D16" s="60" t="s">
        <v>37</v>
      </c>
      <c r="E16" s="60" t="s">
        <v>24</v>
      </c>
      <c r="F16" s="65">
        <v>39326</v>
      </c>
      <c r="G16" s="60">
        <v>2007</v>
      </c>
      <c r="H16" s="60">
        <v>12</v>
      </c>
      <c r="I16" s="60">
        <v>1</v>
      </c>
      <c r="J16" s="58">
        <f t="shared" si="0"/>
        <v>12</v>
      </c>
      <c r="K16" s="60">
        <v>1800.0000833333334</v>
      </c>
      <c r="L16" s="60">
        <v>21.600000999999999</v>
      </c>
      <c r="M16" s="60">
        <v>0.36282123320272069</v>
      </c>
      <c r="N16" s="60">
        <v>7.8369390000000001</v>
      </c>
      <c r="O16" s="60" t="s">
        <v>25</v>
      </c>
      <c r="P16" s="60">
        <v>95.2</v>
      </c>
      <c r="Q16" s="60">
        <v>2.0563200951999998</v>
      </c>
      <c r="R16" s="60">
        <v>0.74607659280000005</v>
      </c>
      <c r="S16" s="60">
        <v>2017</v>
      </c>
      <c r="T16" s="60">
        <v>95.2</v>
      </c>
      <c r="U16" s="60">
        <v>2.0563200951999998</v>
      </c>
      <c r="V16" s="60">
        <v>2.0563200951999998</v>
      </c>
      <c r="W16" s="60">
        <v>1.3102435023999999</v>
      </c>
      <c r="X16" s="65">
        <v>44804</v>
      </c>
      <c r="Y16" s="60">
        <v>2022</v>
      </c>
      <c r="Z16" s="60" t="s">
        <v>165</v>
      </c>
      <c r="AA16" s="60" t="s">
        <v>175</v>
      </c>
    </row>
    <row r="17" spans="1:30" x14ac:dyDescent="0.2">
      <c r="A17" s="58" t="s">
        <v>286</v>
      </c>
      <c r="B17" s="58" t="s">
        <v>369</v>
      </c>
      <c r="D17" s="58" t="s">
        <v>205</v>
      </c>
      <c r="E17" s="58" t="s">
        <v>24</v>
      </c>
      <c r="F17" s="59">
        <v>43497</v>
      </c>
      <c r="G17" s="58">
        <v>2019</v>
      </c>
      <c r="H17" s="58">
        <v>7</v>
      </c>
      <c r="I17" s="58">
        <v>1</v>
      </c>
      <c r="J17" s="58">
        <f t="shared" si="0"/>
        <v>7</v>
      </c>
      <c r="K17" s="58">
        <v>2681.818181818182</v>
      </c>
      <c r="O17" s="58" t="s">
        <v>109</v>
      </c>
      <c r="S17" s="58">
        <v>2029</v>
      </c>
      <c r="X17" s="59">
        <v>48975</v>
      </c>
      <c r="Y17" s="58">
        <v>2034</v>
      </c>
    </row>
    <row r="18" spans="1:30" x14ac:dyDescent="0.2">
      <c r="A18" s="58" t="s">
        <v>228</v>
      </c>
      <c r="B18" s="58" t="s">
        <v>45</v>
      </c>
      <c r="C18" s="58" t="s">
        <v>45</v>
      </c>
      <c r="D18" s="58" t="s">
        <v>45</v>
      </c>
      <c r="E18" s="58" t="s">
        <v>24</v>
      </c>
      <c r="F18" s="59">
        <v>39825</v>
      </c>
      <c r="G18" s="58">
        <v>2009</v>
      </c>
      <c r="H18" s="58">
        <v>12</v>
      </c>
      <c r="I18" s="58">
        <v>1</v>
      </c>
      <c r="J18" s="58">
        <f t="shared" si="0"/>
        <v>12</v>
      </c>
      <c r="K18" s="58">
        <v>1710.0000016666665</v>
      </c>
      <c r="L18" s="58">
        <v>20.520000020000001</v>
      </c>
      <c r="M18" s="58">
        <v>0.9574628796868091</v>
      </c>
      <c r="N18" s="58">
        <v>19.647138310322582</v>
      </c>
      <c r="O18" s="58" t="s">
        <v>25</v>
      </c>
      <c r="P18" s="58">
        <v>91.9</v>
      </c>
      <c r="Q18" s="58">
        <v>1.8857880018380002</v>
      </c>
      <c r="R18" s="58">
        <v>1.8055720107186453</v>
      </c>
      <c r="S18" s="58">
        <v>2019</v>
      </c>
      <c r="T18" s="58">
        <v>91.9</v>
      </c>
      <c r="U18" s="58">
        <v>1.8857880018380002</v>
      </c>
      <c r="V18" s="58">
        <v>1.8857880018380002</v>
      </c>
      <c r="W18" s="58">
        <v>8.0215991119354846E-2</v>
      </c>
      <c r="X18" s="59">
        <v>45302</v>
      </c>
      <c r="Y18" s="58">
        <v>2024</v>
      </c>
      <c r="Z18" s="58" t="s">
        <v>164</v>
      </c>
      <c r="AC18" s="58">
        <v>2034</v>
      </c>
    </row>
    <row r="19" spans="1:30" x14ac:dyDescent="0.2">
      <c r="A19" s="58" t="s">
        <v>292</v>
      </c>
      <c r="B19" s="58" t="s">
        <v>126</v>
      </c>
      <c r="C19" s="58" t="s">
        <v>126</v>
      </c>
      <c r="D19" s="58" t="s">
        <v>126</v>
      </c>
      <c r="E19" s="58" t="s">
        <v>24</v>
      </c>
      <c r="F19" s="59">
        <v>44317</v>
      </c>
      <c r="G19" s="58">
        <v>2021</v>
      </c>
      <c r="H19" s="58">
        <v>12</v>
      </c>
      <c r="I19" s="58">
        <v>1</v>
      </c>
      <c r="J19" s="58">
        <f t="shared" si="0"/>
        <v>12</v>
      </c>
      <c r="K19" s="58">
        <v>2658.3333333333335</v>
      </c>
      <c r="L19" s="58">
        <v>31.9</v>
      </c>
      <c r="M19" s="58">
        <v>0.60236785848612029</v>
      </c>
      <c r="N19" s="58">
        <v>19.215534685707237</v>
      </c>
      <c r="O19" s="58" t="s">
        <v>117</v>
      </c>
      <c r="P19" s="58">
        <v>74.8</v>
      </c>
      <c r="Q19" s="58">
        <v>2.38612</v>
      </c>
      <c r="R19" s="58">
        <v>1.4373219944909013</v>
      </c>
      <c r="S19" s="58">
        <v>2041</v>
      </c>
      <c r="T19" s="58">
        <v>74.8</v>
      </c>
      <c r="U19" s="58">
        <v>2.38612</v>
      </c>
      <c r="V19" s="58">
        <v>2.38612</v>
      </c>
      <c r="W19" s="58">
        <v>0.94879800550909854</v>
      </c>
      <c r="X19" s="59">
        <v>51621</v>
      </c>
      <c r="Y19" s="58">
        <v>2041</v>
      </c>
    </row>
    <row r="20" spans="1:30" x14ac:dyDescent="0.2">
      <c r="A20" s="58" t="s">
        <v>289</v>
      </c>
      <c r="B20" s="58" t="s">
        <v>408</v>
      </c>
      <c r="C20" s="58" t="s">
        <v>123</v>
      </c>
      <c r="D20" s="58" t="s">
        <v>123</v>
      </c>
      <c r="E20" s="58" t="s">
        <v>24</v>
      </c>
      <c r="F20" s="59">
        <v>44136</v>
      </c>
      <c r="G20" s="58">
        <v>2020</v>
      </c>
      <c r="H20" s="58">
        <v>11</v>
      </c>
      <c r="I20" s="58">
        <v>1</v>
      </c>
      <c r="J20" s="58">
        <f t="shared" si="0"/>
        <v>11</v>
      </c>
      <c r="K20" s="58">
        <v>2782.181818181818</v>
      </c>
      <c r="L20" s="58">
        <v>30.603999999999999</v>
      </c>
      <c r="M20" s="58">
        <v>0.19787604395544889</v>
      </c>
      <c r="N20" s="58">
        <v>6.0557984492125581</v>
      </c>
      <c r="O20" s="58" t="s">
        <v>117</v>
      </c>
      <c r="P20" s="58">
        <v>75.078133577310155</v>
      </c>
      <c r="Q20" s="58">
        <v>2.2976911999999996</v>
      </c>
      <c r="R20" s="58">
        <v>0.45465804488724815</v>
      </c>
      <c r="S20" s="58">
        <v>2040</v>
      </c>
      <c r="T20" s="58">
        <v>75.078133577310155</v>
      </c>
      <c r="U20" s="58">
        <v>2.2976911999999996</v>
      </c>
      <c r="V20" s="58">
        <v>2.2976911999999996</v>
      </c>
      <c r="W20" s="58">
        <v>1.8430331551127517</v>
      </c>
      <c r="X20" s="59">
        <v>51440</v>
      </c>
      <c r="Y20" s="58">
        <v>2040</v>
      </c>
    </row>
    <row r="21" spans="1:30" x14ac:dyDescent="0.2">
      <c r="A21" s="58" t="s">
        <v>404</v>
      </c>
      <c r="B21" s="58" t="s">
        <v>414</v>
      </c>
      <c r="C21" s="58" t="s">
        <v>136</v>
      </c>
      <c r="D21" s="58" t="s">
        <v>136</v>
      </c>
      <c r="E21" s="58" t="s">
        <v>24</v>
      </c>
      <c r="F21" s="59">
        <v>44805</v>
      </c>
      <c r="G21" s="58">
        <v>2022</v>
      </c>
      <c r="H21" s="58">
        <v>25.2</v>
      </c>
      <c r="I21" s="58">
        <v>0.8</v>
      </c>
      <c r="J21" s="58">
        <f t="shared" si="0"/>
        <v>20.16</v>
      </c>
      <c r="K21" s="58">
        <v>2055.5238095238096</v>
      </c>
      <c r="L21" s="58">
        <v>41.439360000000001</v>
      </c>
      <c r="M21" s="58">
        <v>0.36451587234042548</v>
      </c>
      <c r="N21" s="58">
        <v>15.105304459628934</v>
      </c>
      <c r="O21" s="58" t="s">
        <v>122</v>
      </c>
      <c r="P21" s="58">
        <v>63.8</v>
      </c>
      <c r="Q21" s="58">
        <v>2.6438311679999997</v>
      </c>
      <c r="R21" s="58">
        <v>0.96371842452432599</v>
      </c>
      <c r="S21" s="58">
        <v>2042</v>
      </c>
      <c r="T21" s="58">
        <v>63.8</v>
      </c>
      <c r="U21" s="58">
        <v>2.6438311679999997</v>
      </c>
      <c r="V21" s="58">
        <v>2.6438311679999997</v>
      </c>
      <c r="W21" s="58">
        <v>1.680112743475674</v>
      </c>
      <c r="X21" s="59">
        <v>52109</v>
      </c>
      <c r="Y21" s="58">
        <v>2042</v>
      </c>
    </row>
    <row r="22" spans="1:30" x14ac:dyDescent="0.2">
      <c r="A22" s="58" t="s">
        <v>249</v>
      </c>
      <c r="B22" s="58" t="s">
        <v>415</v>
      </c>
      <c r="C22" s="58" t="s">
        <v>72</v>
      </c>
      <c r="D22" s="58" t="s">
        <v>72</v>
      </c>
      <c r="E22" s="58" t="s">
        <v>73</v>
      </c>
      <c r="F22" s="59">
        <v>40709</v>
      </c>
      <c r="G22" s="58">
        <v>2011</v>
      </c>
      <c r="H22" s="58">
        <v>4.5</v>
      </c>
      <c r="I22" s="58">
        <v>1</v>
      </c>
      <c r="J22" s="58">
        <f t="shared" si="0"/>
        <v>4.5</v>
      </c>
      <c r="K22" s="58">
        <v>1334.5777777777776</v>
      </c>
      <c r="L22" s="58">
        <v>6.0055999999999985</v>
      </c>
      <c r="M22" s="58">
        <v>0.54733915012654843</v>
      </c>
      <c r="N22" s="58">
        <v>3.2870999999999984</v>
      </c>
      <c r="O22" s="58" t="s">
        <v>25</v>
      </c>
      <c r="P22" s="58">
        <v>337.2</v>
      </c>
      <c r="Q22" s="58">
        <v>2.0250883199999992</v>
      </c>
      <c r="R22" s="58">
        <v>1.1084101199999994</v>
      </c>
      <c r="S22" s="58">
        <v>2031</v>
      </c>
      <c r="T22" s="58">
        <v>337.2</v>
      </c>
      <c r="U22" s="58">
        <v>2.0250883199999992</v>
      </c>
      <c r="V22" s="58">
        <v>2.0250883199999992</v>
      </c>
      <c r="W22" s="58">
        <v>0.91667820000000011</v>
      </c>
      <c r="X22" s="59">
        <v>48013</v>
      </c>
      <c r="Y22" s="58">
        <v>2031</v>
      </c>
    </row>
    <row r="23" spans="1:30" x14ac:dyDescent="0.2">
      <c r="A23" s="58" t="s">
        <v>267</v>
      </c>
      <c r="B23" s="58" t="s">
        <v>359</v>
      </c>
      <c r="C23" s="58" t="s">
        <v>91</v>
      </c>
      <c r="D23" s="58" t="s">
        <v>91</v>
      </c>
      <c r="E23" s="58" t="s">
        <v>73</v>
      </c>
      <c r="F23" s="59">
        <v>42276</v>
      </c>
      <c r="G23" s="58">
        <v>2015</v>
      </c>
      <c r="H23" s="58">
        <v>9.8000000000000007</v>
      </c>
      <c r="I23" s="58">
        <v>1</v>
      </c>
      <c r="J23" s="58">
        <f t="shared" si="0"/>
        <v>9.8000000000000007</v>
      </c>
      <c r="K23" s="58">
        <v>1556.5510204081631</v>
      </c>
      <c r="L23" s="58">
        <v>15.254200000000001</v>
      </c>
      <c r="M23" s="58">
        <v>0.1712020296049612</v>
      </c>
      <c r="N23" s="58">
        <v>2.6115499999999994</v>
      </c>
      <c r="O23" s="58" t="s">
        <v>25</v>
      </c>
      <c r="P23" s="58">
        <v>85.6</v>
      </c>
      <c r="Q23" s="58">
        <v>1.3057595200000001</v>
      </c>
      <c r="R23" s="58">
        <v>0.22354867999999994</v>
      </c>
      <c r="S23" s="58">
        <v>2035</v>
      </c>
      <c r="T23" s="58">
        <v>85.6</v>
      </c>
      <c r="U23" s="58">
        <v>1.3057595200000001</v>
      </c>
      <c r="V23" s="58">
        <v>1.3057595200000001</v>
      </c>
      <c r="W23" s="58">
        <v>1.0822108399999999</v>
      </c>
      <c r="X23" s="59">
        <v>49580</v>
      </c>
      <c r="Y23" s="58">
        <v>2035</v>
      </c>
    </row>
    <row r="24" spans="1:30" x14ac:dyDescent="0.2">
      <c r="A24" s="58" t="s">
        <v>266</v>
      </c>
      <c r="B24" s="58" t="s">
        <v>358</v>
      </c>
      <c r="C24" s="58" t="s">
        <v>92</v>
      </c>
      <c r="D24" s="58" t="s">
        <v>92</v>
      </c>
      <c r="E24" s="58" t="s">
        <v>24</v>
      </c>
      <c r="F24" s="59">
        <v>42344</v>
      </c>
      <c r="G24" s="58">
        <v>2015</v>
      </c>
      <c r="H24" s="58">
        <v>14.35</v>
      </c>
      <c r="I24" s="58">
        <v>1</v>
      </c>
      <c r="J24" s="58">
        <f t="shared" si="0"/>
        <v>14.35</v>
      </c>
      <c r="K24" s="58">
        <v>2334.4948432055749</v>
      </c>
      <c r="L24" s="58">
        <v>33.500000999999997</v>
      </c>
      <c r="M24" s="58">
        <v>7.6607725204776406E-2</v>
      </c>
      <c r="N24" s="58">
        <v>2.5663588709677345</v>
      </c>
      <c r="O24" s="58" t="s">
        <v>25</v>
      </c>
      <c r="P24" s="58">
        <v>87.7</v>
      </c>
      <c r="Q24" s="58">
        <v>2.9379500877</v>
      </c>
      <c r="R24" s="58">
        <v>0.22506967298387034</v>
      </c>
      <c r="S24" s="58">
        <v>2025</v>
      </c>
      <c r="T24" s="58">
        <v>87.7</v>
      </c>
      <c r="U24" s="58">
        <v>2.9379500877</v>
      </c>
      <c r="V24" s="58">
        <v>2.9379500877</v>
      </c>
      <c r="W24" s="58">
        <v>2.7128804147161296</v>
      </c>
      <c r="X24" s="59">
        <v>47822</v>
      </c>
      <c r="Y24" s="58">
        <v>2030</v>
      </c>
    </row>
    <row r="25" spans="1:30" x14ac:dyDescent="0.2">
      <c r="A25" s="58" t="s">
        <v>238</v>
      </c>
      <c r="B25" s="58" t="s">
        <v>339</v>
      </c>
      <c r="C25" s="58" t="s">
        <v>58</v>
      </c>
      <c r="D25" s="58" t="s">
        <v>58</v>
      </c>
      <c r="E25" s="58" t="s">
        <v>24</v>
      </c>
      <c r="F25" s="59">
        <v>40210</v>
      </c>
      <c r="G25" s="58">
        <v>2010</v>
      </c>
      <c r="H25" s="58">
        <v>4.5999999999999996</v>
      </c>
      <c r="I25" s="58">
        <v>1</v>
      </c>
      <c r="J25" s="58">
        <f t="shared" si="0"/>
        <v>4.5999999999999996</v>
      </c>
      <c r="K25" s="58">
        <v>2652.173695652174</v>
      </c>
      <c r="L25" s="58">
        <v>12.199999</v>
      </c>
      <c r="M25" s="58">
        <v>0.88636035368293298</v>
      </c>
      <c r="N25" s="58">
        <v>10.813595428571428</v>
      </c>
      <c r="O25" s="58" t="s">
        <v>25</v>
      </c>
      <c r="P25" s="58">
        <v>96.5</v>
      </c>
      <c r="Q25" s="58">
        <v>1.1772999035</v>
      </c>
      <c r="R25" s="58">
        <v>1.0435119588571429</v>
      </c>
      <c r="S25" s="58">
        <v>2020</v>
      </c>
      <c r="T25" s="58">
        <v>78.532624184782605</v>
      </c>
      <c r="U25" s="58">
        <v>0.95809793652172359</v>
      </c>
      <c r="V25" s="58">
        <v>0.98300797052114031</v>
      </c>
      <c r="W25" s="58">
        <v>0.10887791064344042</v>
      </c>
      <c r="X25" s="59">
        <v>45688</v>
      </c>
      <c r="Y25" s="58">
        <v>2025</v>
      </c>
      <c r="Z25" s="58" t="s">
        <v>165</v>
      </c>
      <c r="AA25" s="58" t="s">
        <v>169</v>
      </c>
      <c r="AB25" s="59">
        <v>46022</v>
      </c>
    </row>
    <row r="26" spans="1:30" x14ac:dyDescent="0.2">
      <c r="A26" s="58" t="s">
        <v>291</v>
      </c>
      <c r="B26" s="58" t="s">
        <v>375</v>
      </c>
      <c r="C26" s="58" t="s">
        <v>125</v>
      </c>
      <c r="D26" s="58" t="s">
        <v>125</v>
      </c>
      <c r="E26" s="58" t="s">
        <v>24</v>
      </c>
      <c r="F26" s="59">
        <v>44197</v>
      </c>
      <c r="G26" s="58">
        <v>2021</v>
      </c>
      <c r="H26" s="58">
        <v>35.35</v>
      </c>
      <c r="I26" s="58">
        <v>1</v>
      </c>
      <c r="J26" s="58">
        <f t="shared" si="0"/>
        <v>35.35</v>
      </c>
      <c r="K26" s="58">
        <v>2746.8175388967466</v>
      </c>
      <c r="L26" s="58">
        <v>97.1</v>
      </c>
      <c r="M26" s="58">
        <v>0.99734136830911024</v>
      </c>
      <c r="N26" s="58">
        <v>96.841846862814606</v>
      </c>
      <c r="O26" s="58" t="s">
        <v>122</v>
      </c>
      <c r="P26" s="58">
        <v>72.849999999999994</v>
      </c>
      <c r="Q26" s="58">
        <v>7.0737349999999983</v>
      </c>
      <c r="R26" s="58">
        <v>7.0549285439560432</v>
      </c>
      <c r="S26" s="58">
        <v>2041</v>
      </c>
      <c r="T26" s="58">
        <v>72.849999999999994</v>
      </c>
      <c r="U26" s="58">
        <v>7.0737349999999983</v>
      </c>
      <c r="V26" s="58">
        <v>7.0737349999999983</v>
      </c>
      <c r="W26" s="58">
        <v>1.880645604395555E-2</v>
      </c>
      <c r="X26" s="59">
        <v>51501</v>
      </c>
      <c r="Y26" s="58">
        <v>2040</v>
      </c>
    </row>
    <row r="27" spans="1:30" x14ac:dyDescent="0.2">
      <c r="A27" s="58" t="s">
        <v>251</v>
      </c>
      <c r="B27" s="58" t="s">
        <v>76</v>
      </c>
      <c r="C27" s="58" t="s">
        <v>76</v>
      </c>
      <c r="D27" s="58" t="s">
        <v>76</v>
      </c>
      <c r="E27" s="58" t="s">
        <v>24</v>
      </c>
      <c r="F27" s="59">
        <v>40732</v>
      </c>
      <c r="G27" s="58">
        <v>2011</v>
      </c>
      <c r="H27" s="58">
        <v>10</v>
      </c>
      <c r="I27" s="58">
        <v>1</v>
      </c>
      <c r="J27" s="58">
        <f t="shared" si="0"/>
        <v>10</v>
      </c>
      <c r="K27" s="58">
        <v>2344.0000999999997</v>
      </c>
      <c r="L27" s="58">
        <v>23.440000999999995</v>
      </c>
      <c r="M27" s="58">
        <v>0.46552240389849914</v>
      </c>
      <c r="N27" s="58">
        <v>10.911845612903221</v>
      </c>
      <c r="O27" s="58" t="s">
        <v>25</v>
      </c>
      <c r="P27" s="58">
        <v>87.8</v>
      </c>
      <c r="Q27" s="58">
        <v>2.0580320877999991</v>
      </c>
      <c r="R27" s="58">
        <v>0.95806004481290274</v>
      </c>
      <c r="S27" s="58">
        <v>2021</v>
      </c>
      <c r="T27" s="58">
        <v>87.8</v>
      </c>
      <c r="U27" s="58">
        <v>2.0580320877999991</v>
      </c>
      <c r="V27" s="58">
        <v>2.0580320877999996</v>
      </c>
      <c r="W27" s="58">
        <v>1.0999720429870967</v>
      </c>
      <c r="X27" s="59">
        <v>46210</v>
      </c>
      <c r="Y27" s="58">
        <v>2026</v>
      </c>
    </row>
    <row r="28" spans="1:30" x14ac:dyDescent="0.2">
      <c r="A28" s="58" t="s">
        <v>245</v>
      </c>
      <c r="B28" s="58" t="s">
        <v>340</v>
      </c>
      <c r="C28" s="58" t="s">
        <v>68</v>
      </c>
      <c r="D28" s="58" t="s">
        <v>68</v>
      </c>
      <c r="E28" s="58" t="s">
        <v>24</v>
      </c>
      <c r="F28" s="59">
        <v>40452</v>
      </c>
      <c r="G28" s="58">
        <v>2010</v>
      </c>
      <c r="H28" s="58">
        <v>9.1999999999999993</v>
      </c>
      <c r="I28" s="58">
        <v>1</v>
      </c>
      <c r="J28" s="58">
        <f t="shared" si="0"/>
        <v>9.1999999999999993</v>
      </c>
      <c r="K28" s="58">
        <v>2130.4346739130438</v>
      </c>
      <c r="L28" s="58">
        <v>19.599999</v>
      </c>
      <c r="M28" s="58">
        <v>0.31662562346180756</v>
      </c>
      <c r="N28" s="58">
        <v>6.2058619032258049</v>
      </c>
      <c r="O28" s="58" t="s">
        <v>25</v>
      </c>
      <c r="P28" s="58">
        <v>95.2</v>
      </c>
      <c r="Q28" s="58">
        <v>1.8659199048000001</v>
      </c>
      <c r="R28" s="58">
        <v>0.59079805318709666</v>
      </c>
      <c r="S28" s="58">
        <v>2020</v>
      </c>
      <c r="T28" s="58">
        <v>95.2</v>
      </c>
      <c r="U28" s="58">
        <v>1.8659199048000001</v>
      </c>
      <c r="V28" s="58">
        <v>1.8659199048000004</v>
      </c>
      <c r="W28" s="58">
        <v>1.2751218516129033</v>
      </c>
      <c r="X28" s="59">
        <v>45930</v>
      </c>
      <c r="Y28" s="58">
        <v>2025</v>
      </c>
      <c r="Z28" s="58" t="s">
        <v>165</v>
      </c>
      <c r="AA28" s="58" t="s">
        <v>168</v>
      </c>
      <c r="AB28" s="59">
        <v>46387</v>
      </c>
    </row>
    <row r="29" spans="1:30" x14ac:dyDescent="0.2">
      <c r="A29" s="58" t="s">
        <v>280</v>
      </c>
      <c r="B29" s="58" t="s">
        <v>416</v>
      </c>
      <c r="C29" s="58" t="s">
        <v>106</v>
      </c>
      <c r="D29" s="58" t="s">
        <v>106</v>
      </c>
      <c r="E29" s="58" t="s">
        <v>24</v>
      </c>
      <c r="F29" s="59">
        <v>43075</v>
      </c>
      <c r="G29" s="58">
        <v>2017</v>
      </c>
      <c r="H29" s="58">
        <v>29.7</v>
      </c>
      <c r="I29" s="58">
        <v>1</v>
      </c>
      <c r="J29" s="58">
        <f t="shared" si="0"/>
        <v>29.7</v>
      </c>
      <c r="K29" s="58">
        <v>2424.006734006734</v>
      </c>
      <c r="L29" s="58">
        <v>71.992999999999995</v>
      </c>
      <c r="M29" s="58">
        <v>9.0598929196969422E-2</v>
      </c>
      <c r="N29" s="58">
        <v>6.5224887096774191</v>
      </c>
      <c r="O29" s="58" t="s">
        <v>25</v>
      </c>
      <c r="P29" s="58">
        <v>85.8</v>
      </c>
      <c r="Q29" s="58">
        <v>6.1769993999999997</v>
      </c>
      <c r="R29" s="58">
        <v>0.55962953129032256</v>
      </c>
      <c r="S29" s="58">
        <v>2027</v>
      </c>
      <c r="T29" s="58">
        <v>84.731700336700357</v>
      </c>
      <c r="U29" s="58">
        <v>6.1000893023400682</v>
      </c>
      <c r="V29" s="58">
        <v>6.1700314275075749</v>
      </c>
      <c r="W29" s="58">
        <v>5.5474277435421699</v>
      </c>
      <c r="X29" s="59">
        <v>48553</v>
      </c>
      <c r="Y29" s="58">
        <v>2032</v>
      </c>
    </row>
    <row r="30" spans="1:30" x14ac:dyDescent="0.2">
      <c r="A30" s="58" t="s">
        <v>214</v>
      </c>
      <c r="B30" s="58" t="s">
        <v>319</v>
      </c>
      <c r="C30" s="58" t="s">
        <v>26</v>
      </c>
      <c r="D30" s="58" t="s">
        <v>26</v>
      </c>
      <c r="E30" s="58" t="s">
        <v>24</v>
      </c>
      <c r="F30" s="59">
        <v>37936</v>
      </c>
      <c r="G30" s="58">
        <v>2003</v>
      </c>
      <c r="H30" s="58">
        <v>4</v>
      </c>
      <c r="I30" s="58">
        <v>1</v>
      </c>
      <c r="J30" s="58">
        <f t="shared" si="0"/>
        <v>4</v>
      </c>
      <c r="K30" s="58">
        <v>1475</v>
      </c>
      <c r="L30" s="58">
        <v>5.9</v>
      </c>
      <c r="M30" s="58">
        <v>0.19086530789874492</v>
      </c>
      <c r="N30" s="58">
        <v>1.1261053166025952</v>
      </c>
      <c r="O30" s="58" t="s">
        <v>25</v>
      </c>
      <c r="P30" s="58">
        <v>98.4</v>
      </c>
      <c r="Q30" s="58">
        <v>0.58056000000000008</v>
      </c>
      <c r="R30" s="58">
        <v>0.11080876315369537</v>
      </c>
      <c r="S30" s="58">
        <v>2013</v>
      </c>
      <c r="T30" s="58">
        <v>98.4</v>
      </c>
      <c r="U30" s="58">
        <v>0.58056000000000008</v>
      </c>
      <c r="V30" s="58">
        <v>0.58056000000000008</v>
      </c>
      <c r="W30" s="58">
        <v>0.46975123684630465</v>
      </c>
      <c r="X30" s="59">
        <v>43414</v>
      </c>
      <c r="Y30" s="58">
        <v>2018</v>
      </c>
      <c r="Z30" s="58" t="s">
        <v>164</v>
      </c>
      <c r="AC30" s="58">
        <v>2028</v>
      </c>
      <c r="AD30" s="58" t="s">
        <v>172</v>
      </c>
    </row>
    <row r="31" spans="1:30" x14ac:dyDescent="0.2">
      <c r="A31" s="58" t="s">
        <v>224</v>
      </c>
      <c r="B31" s="58" t="s">
        <v>40</v>
      </c>
      <c r="C31" s="58" t="s">
        <v>40</v>
      </c>
      <c r="D31" s="58" t="s">
        <v>40</v>
      </c>
      <c r="E31" s="58" t="s">
        <v>24</v>
      </c>
      <c r="F31" s="59">
        <v>39507</v>
      </c>
      <c r="G31" s="58">
        <v>2008</v>
      </c>
      <c r="H31" s="58">
        <v>8.1</v>
      </c>
      <c r="I31" s="58">
        <v>1</v>
      </c>
      <c r="J31" s="58">
        <f t="shared" si="0"/>
        <v>8.1</v>
      </c>
      <c r="K31" s="58">
        <v>1148.1482716049384</v>
      </c>
      <c r="L31" s="58">
        <v>9.300001</v>
      </c>
      <c r="M31" s="58">
        <v>0.75242357500821777</v>
      </c>
      <c r="N31" s="58">
        <v>6.9975399999999999</v>
      </c>
      <c r="O31" s="58" t="s">
        <v>25</v>
      </c>
      <c r="P31" s="58">
        <v>94.2</v>
      </c>
      <c r="Q31" s="58">
        <v>0.87606009419999997</v>
      </c>
      <c r="R31" s="58">
        <v>0.65916826800000006</v>
      </c>
      <c r="S31" s="58">
        <v>2018</v>
      </c>
      <c r="T31" s="58">
        <v>94.2</v>
      </c>
      <c r="U31" s="58">
        <v>0.87606009419999997</v>
      </c>
      <c r="V31" s="58">
        <v>0.87606009419999997</v>
      </c>
      <c r="W31" s="58">
        <v>0.21689182620000003</v>
      </c>
      <c r="X31" s="59">
        <v>44984</v>
      </c>
      <c r="Y31" s="58">
        <v>2023</v>
      </c>
      <c r="Z31" s="58" t="s">
        <v>164</v>
      </c>
      <c r="AC31" s="58">
        <v>2037</v>
      </c>
    </row>
    <row r="32" spans="1:30" x14ac:dyDescent="0.2">
      <c r="A32" s="58" t="s">
        <v>265</v>
      </c>
      <c r="B32" s="58" t="s">
        <v>90</v>
      </c>
      <c r="C32" s="58" t="s">
        <v>90</v>
      </c>
      <c r="D32" s="58" t="s">
        <v>90</v>
      </c>
      <c r="E32" s="58" t="s">
        <v>24</v>
      </c>
      <c r="F32" s="59">
        <v>42090</v>
      </c>
      <c r="G32" s="58">
        <v>2015</v>
      </c>
      <c r="H32" s="58">
        <v>10</v>
      </c>
      <c r="I32" s="58">
        <v>1</v>
      </c>
      <c r="J32" s="58">
        <f t="shared" si="0"/>
        <v>10</v>
      </c>
      <c r="K32" s="58">
        <v>2545</v>
      </c>
      <c r="L32" s="58">
        <v>25.45</v>
      </c>
      <c r="M32" s="58">
        <v>0.69457085620128023</v>
      </c>
      <c r="N32" s="58">
        <v>17.676828290322582</v>
      </c>
      <c r="O32" s="58" t="s">
        <v>25</v>
      </c>
      <c r="P32" s="58">
        <v>87.9</v>
      </c>
      <c r="Q32" s="58">
        <v>2.2370550000000002</v>
      </c>
      <c r="R32" s="58">
        <v>1.5537932067193552</v>
      </c>
      <c r="S32" s="58">
        <v>2025</v>
      </c>
      <c r="T32" s="58">
        <v>80.68625000000003</v>
      </c>
      <c r="U32" s="58">
        <v>2.0534650625000008</v>
      </c>
      <c r="V32" s="58">
        <v>2.1095387799206859</v>
      </c>
      <c r="W32" s="58">
        <v>0.62718807585995962</v>
      </c>
      <c r="X32" s="59">
        <v>47568</v>
      </c>
      <c r="Y32" s="58">
        <v>2030</v>
      </c>
    </row>
    <row r="33" spans="1:28" x14ac:dyDescent="0.2">
      <c r="A33" s="58" t="s">
        <v>283</v>
      </c>
      <c r="B33" s="58" t="s">
        <v>111</v>
      </c>
      <c r="C33" s="58" t="s">
        <v>111</v>
      </c>
      <c r="D33" s="58" t="s">
        <v>111</v>
      </c>
      <c r="E33" s="58" t="s">
        <v>24</v>
      </c>
      <c r="F33" s="59">
        <v>43413</v>
      </c>
      <c r="G33" s="58">
        <v>2018</v>
      </c>
      <c r="H33" s="58">
        <v>25.6</v>
      </c>
      <c r="I33" s="58">
        <v>1</v>
      </c>
      <c r="J33" s="58">
        <f t="shared" si="0"/>
        <v>25.6</v>
      </c>
      <c r="K33" s="58">
        <v>1852.407585546875</v>
      </c>
      <c r="L33" s="58">
        <v>47.421634190000006</v>
      </c>
      <c r="M33" s="58">
        <v>0.19175627409984047</v>
      </c>
      <c r="N33" s="58">
        <v>9.0933958840000084</v>
      </c>
      <c r="O33" s="58" t="s">
        <v>25</v>
      </c>
      <c r="P33" s="58">
        <v>82.5</v>
      </c>
      <c r="Q33" s="58">
        <v>3.9122848206750005</v>
      </c>
      <c r="R33" s="58">
        <v>0.75020516043000063</v>
      </c>
      <c r="S33" s="58">
        <v>2028</v>
      </c>
      <c r="T33" s="58">
        <v>82.5</v>
      </c>
      <c r="U33" s="58">
        <v>3.9122848206750005</v>
      </c>
      <c r="V33" s="58">
        <v>3.9122848206750005</v>
      </c>
      <c r="W33" s="58">
        <v>3.1620796602449994</v>
      </c>
      <c r="X33" s="59">
        <v>48891</v>
      </c>
      <c r="Y33" s="58">
        <v>2033</v>
      </c>
    </row>
    <row r="34" spans="1:28" x14ac:dyDescent="0.2">
      <c r="A34" s="58" t="s">
        <v>347</v>
      </c>
      <c r="B34" s="58" t="s">
        <v>348</v>
      </c>
      <c r="D34" s="58" t="s">
        <v>191</v>
      </c>
      <c r="E34" s="58" t="s">
        <v>24</v>
      </c>
      <c r="F34" s="59">
        <v>40725</v>
      </c>
      <c r="G34" s="58">
        <v>2011</v>
      </c>
      <c r="H34" s="58">
        <v>12</v>
      </c>
      <c r="I34" s="58">
        <v>1</v>
      </c>
      <c r="J34" s="58">
        <f t="shared" ref="J34:J65" si="1">H34*I34</f>
        <v>12</v>
      </c>
      <c r="K34" s="58">
        <v>2127.7777775</v>
      </c>
      <c r="O34" s="58" t="s">
        <v>25</v>
      </c>
      <c r="S34" s="58">
        <v>2021</v>
      </c>
      <c r="X34" s="59">
        <v>46203</v>
      </c>
      <c r="Y34" s="58">
        <v>2026</v>
      </c>
    </row>
    <row r="35" spans="1:28" x14ac:dyDescent="0.2">
      <c r="A35" s="58" t="s">
        <v>345</v>
      </c>
      <c r="B35" s="58" t="s">
        <v>346</v>
      </c>
      <c r="C35" s="58" t="s">
        <v>74</v>
      </c>
      <c r="D35" s="58" t="s">
        <v>181</v>
      </c>
      <c r="E35" s="58" t="s">
        <v>24</v>
      </c>
      <c r="F35" s="59">
        <v>40725</v>
      </c>
      <c r="G35" s="58">
        <v>2011</v>
      </c>
      <c r="H35" s="58">
        <v>11</v>
      </c>
      <c r="I35" s="58">
        <v>1</v>
      </c>
      <c r="J35" s="58">
        <f t="shared" si="1"/>
        <v>11</v>
      </c>
      <c r="K35" s="58">
        <v>2127.7777775</v>
      </c>
      <c r="L35" s="58">
        <v>76.599999990000001</v>
      </c>
      <c r="M35" s="58">
        <v>0.46391435332005954</v>
      </c>
      <c r="N35" s="58">
        <v>35.535839459677419</v>
      </c>
      <c r="O35" s="58" t="s">
        <v>25</v>
      </c>
      <c r="P35" s="58">
        <v>92.7</v>
      </c>
      <c r="Q35" s="58">
        <v>7.1008199990729999</v>
      </c>
      <c r="R35" s="58">
        <v>3.2941723179120967</v>
      </c>
      <c r="S35" s="58">
        <v>2021</v>
      </c>
      <c r="T35" s="58">
        <v>92.7</v>
      </c>
      <c r="U35" s="58">
        <v>7.1008199990729999</v>
      </c>
      <c r="V35" s="58">
        <v>7.100819999072999</v>
      </c>
      <c r="W35" s="58">
        <v>3.8066476811609036</v>
      </c>
      <c r="X35" s="59">
        <v>46203</v>
      </c>
      <c r="Y35" s="58">
        <v>2026</v>
      </c>
    </row>
    <row r="36" spans="1:28" x14ac:dyDescent="0.2">
      <c r="A36" s="58" t="s">
        <v>250</v>
      </c>
      <c r="B36" s="58" t="s">
        <v>344</v>
      </c>
      <c r="D36" s="58" t="s">
        <v>182</v>
      </c>
      <c r="E36" s="58" t="s">
        <v>24</v>
      </c>
      <c r="F36" s="59">
        <v>40725</v>
      </c>
      <c r="G36" s="58">
        <v>2011</v>
      </c>
      <c r="H36" s="58">
        <v>11</v>
      </c>
      <c r="I36" s="58">
        <v>1</v>
      </c>
      <c r="J36" s="58">
        <f t="shared" si="1"/>
        <v>11</v>
      </c>
      <c r="K36" s="58">
        <v>2127.7777775</v>
      </c>
      <c r="O36" s="58" t="s">
        <v>25</v>
      </c>
      <c r="S36" s="58">
        <v>2021</v>
      </c>
      <c r="X36" s="59">
        <v>46203</v>
      </c>
      <c r="Y36" s="58">
        <v>2026</v>
      </c>
    </row>
    <row r="37" spans="1:28" s="60" customFormat="1" x14ac:dyDescent="0.2">
      <c r="C37" s="60" t="s">
        <v>63</v>
      </c>
      <c r="D37" s="60" t="s">
        <v>63</v>
      </c>
      <c r="E37" s="60" t="s">
        <v>24</v>
      </c>
      <c r="F37" s="65">
        <v>40269</v>
      </c>
      <c r="G37" s="60">
        <v>2010</v>
      </c>
      <c r="H37" s="60">
        <v>10</v>
      </c>
      <c r="I37" s="60">
        <v>1</v>
      </c>
      <c r="J37" s="58">
        <f t="shared" si="1"/>
        <v>10</v>
      </c>
      <c r="K37" s="60">
        <v>1602.0000999999997</v>
      </c>
      <c r="L37" s="60">
        <v>16.020000999999997</v>
      </c>
      <c r="M37" s="60">
        <v>0.69318712069160715</v>
      </c>
      <c r="N37" s="60">
        <v>11.104858366666665</v>
      </c>
      <c r="O37" s="60" t="s">
        <v>25</v>
      </c>
      <c r="P37" s="60">
        <v>96.3</v>
      </c>
      <c r="Q37" s="60">
        <v>1.5427260962999996</v>
      </c>
      <c r="R37" s="60">
        <v>1.0693978607099999</v>
      </c>
      <c r="S37" s="60">
        <v>2020</v>
      </c>
      <c r="T37" s="60">
        <v>96.3</v>
      </c>
      <c r="U37" s="60">
        <v>1.5427260962999996</v>
      </c>
      <c r="V37" s="60">
        <v>1.5427260962999996</v>
      </c>
      <c r="W37" s="60">
        <v>0.47332823558999987</v>
      </c>
      <c r="X37" s="65">
        <v>45747</v>
      </c>
      <c r="Y37" s="60">
        <v>2025</v>
      </c>
      <c r="Z37" s="60" t="s">
        <v>171</v>
      </c>
    </row>
    <row r="38" spans="1:28" x14ac:dyDescent="0.2">
      <c r="A38" s="58" t="s">
        <v>421</v>
      </c>
      <c r="B38" s="58" t="s">
        <v>409</v>
      </c>
      <c r="C38" s="58" t="s">
        <v>127</v>
      </c>
      <c r="D38" s="58" t="s">
        <v>127</v>
      </c>
      <c r="E38" s="58" t="s">
        <v>24</v>
      </c>
      <c r="F38" s="59">
        <v>44440</v>
      </c>
      <c r="G38" s="58">
        <v>2021</v>
      </c>
      <c r="H38" s="58">
        <v>13.8</v>
      </c>
      <c r="I38" s="58">
        <v>1</v>
      </c>
      <c r="J38" s="58">
        <f t="shared" si="1"/>
        <v>13.8</v>
      </c>
      <c r="K38" s="58">
        <v>2905.797101449275</v>
      </c>
      <c r="L38" s="58">
        <v>40.1</v>
      </c>
      <c r="M38" s="58">
        <v>0.36642228452210196</v>
      </c>
      <c r="N38" s="58">
        <v>14.693533609336288</v>
      </c>
      <c r="O38" s="58" t="s">
        <v>122</v>
      </c>
      <c r="P38" s="58">
        <v>67.900000000000006</v>
      </c>
      <c r="Q38" s="58">
        <v>2.7227900000000003</v>
      </c>
      <c r="R38" s="58">
        <v>0.997690932073934</v>
      </c>
      <c r="S38" s="58">
        <v>2041</v>
      </c>
      <c r="T38" s="58">
        <v>67.900000000000006</v>
      </c>
      <c r="U38" s="58">
        <v>2.7227900000000003</v>
      </c>
      <c r="V38" s="58">
        <v>2.7227900000000003</v>
      </c>
      <c r="W38" s="58">
        <v>1.7250990679260663</v>
      </c>
      <c r="X38" s="59">
        <v>51744</v>
      </c>
      <c r="Y38" s="58">
        <v>2041</v>
      </c>
    </row>
    <row r="39" spans="1:28" x14ac:dyDescent="0.2">
      <c r="A39" s="58" t="s">
        <v>290</v>
      </c>
      <c r="B39" s="58" t="s">
        <v>407</v>
      </c>
      <c r="C39" s="58" t="s">
        <v>124</v>
      </c>
      <c r="D39" s="58" t="s">
        <v>124</v>
      </c>
      <c r="E39" s="58" t="s">
        <v>24</v>
      </c>
      <c r="F39" s="59">
        <v>44166</v>
      </c>
      <c r="G39" s="58">
        <v>2020</v>
      </c>
      <c r="H39" s="58">
        <v>17.25</v>
      </c>
      <c r="I39" s="58">
        <v>1</v>
      </c>
      <c r="J39" s="58">
        <f t="shared" si="1"/>
        <v>17.25</v>
      </c>
      <c r="K39" s="58">
        <v>2649.2753623188405</v>
      </c>
      <c r="L39" s="58">
        <v>45.7</v>
      </c>
      <c r="M39" s="58">
        <v>0.10790865454771144</v>
      </c>
      <c r="N39" s="58">
        <v>4.9314255128304127</v>
      </c>
      <c r="O39" s="58" t="s">
        <v>122</v>
      </c>
      <c r="P39" s="58">
        <v>65.900000000000006</v>
      </c>
      <c r="Q39" s="58">
        <v>3.0116300000000007</v>
      </c>
      <c r="R39" s="58">
        <v>0.32498094129552424</v>
      </c>
      <c r="S39" s="58">
        <v>2040</v>
      </c>
      <c r="T39" s="58">
        <v>65.900000000000006</v>
      </c>
      <c r="U39" s="58">
        <v>3.0116300000000007</v>
      </c>
      <c r="V39" s="58">
        <v>3.0116300000000007</v>
      </c>
      <c r="W39" s="58">
        <v>2.686649058704476</v>
      </c>
      <c r="X39" s="59">
        <v>51470</v>
      </c>
      <c r="Y39" s="58">
        <v>2040</v>
      </c>
    </row>
    <row r="40" spans="1:28" x14ac:dyDescent="0.2">
      <c r="A40" s="58" t="s">
        <v>229</v>
      </c>
      <c r="B40" s="58" t="s">
        <v>417</v>
      </c>
      <c r="C40" s="58" t="s">
        <v>46</v>
      </c>
      <c r="D40" s="58" t="s">
        <v>46</v>
      </c>
      <c r="E40" s="58" t="s">
        <v>24</v>
      </c>
      <c r="F40" s="59">
        <v>39966</v>
      </c>
      <c r="G40" s="58">
        <v>2009</v>
      </c>
      <c r="H40" s="58">
        <v>8</v>
      </c>
      <c r="I40" s="58">
        <v>1</v>
      </c>
      <c r="J40" s="58">
        <f t="shared" si="1"/>
        <v>8</v>
      </c>
      <c r="K40" s="58">
        <v>2164.999875</v>
      </c>
      <c r="L40" s="58">
        <v>17.319998999999999</v>
      </c>
      <c r="M40" s="58">
        <v>0.5331102501795757</v>
      </c>
      <c r="N40" s="58">
        <v>9.2334690000000013</v>
      </c>
      <c r="O40" s="58" t="s">
        <v>25</v>
      </c>
      <c r="P40" s="58">
        <v>95.9</v>
      </c>
      <c r="Q40" s="58">
        <v>1.6609879041</v>
      </c>
      <c r="R40" s="58">
        <v>0.88548967710000026</v>
      </c>
      <c r="S40" s="58">
        <v>2019</v>
      </c>
      <c r="T40" s="58">
        <v>95.9</v>
      </c>
      <c r="U40" s="58">
        <v>1.6609879041</v>
      </c>
      <c r="V40" s="58">
        <v>1.6609879041</v>
      </c>
      <c r="W40" s="58">
        <v>0.77549822699999982</v>
      </c>
      <c r="X40" s="59">
        <v>45444</v>
      </c>
      <c r="Y40" s="58">
        <v>2024</v>
      </c>
      <c r="Z40" s="58" t="s">
        <v>165</v>
      </c>
      <c r="AA40" s="58" t="s">
        <v>168</v>
      </c>
      <c r="AB40" s="59">
        <v>46387</v>
      </c>
    </row>
    <row r="41" spans="1:28" x14ac:dyDescent="0.2">
      <c r="A41" s="58" t="s">
        <v>222</v>
      </c>
      <c r="B41" s="58" t="s">
        <v>38</v>
      </c>
      <c r="C41" s="58" t="s">
        <v>38</v>
      </c>
      <c r="D41" s="58" t="s">
        <v>38</v>
      </c>
      <c r="E41" s="58" t="s">
        <v>24</v>
      </c>
      <c r="F41" s="59">
        <v>39359</v>
      </c>
      <c r="G41" s="58">
        <v>2007</v>
      </c>
      <c r="H41" s="58">
        <v>4</v>
      </c>
      <c r="I41" s="58">
        <v>1</v>
      </c>
      <c r="J41" s="58">
        <f t="shared" si="1"/>
        <v>4</v>
      </c>
      <c r="K41" s="58">
        <v>2257.5</v>
      </c>
      <c r="L41" s="58">
        <v>9.0299999999999994</v>
      </c>
      <c r="M41" s="58">
        <v>0.25075095916836354</v>
      </c>
      <c r="N41" s="58">
        <v>2.2642811612903224</v>
      </c>
      <c r="O41" s="58" t="s">
        <v>25</v>
      </c>
      <c r="P41" s="58">
        <v>94.8</v>
      </c>
      <c r="Q41" s="58">
        <v>0.85604399999999992</v>
      </c>
      <c r="R41" s="58">
        <v>0.21465385409032256</v>
      </c>
      <c r="S41" s="58">
        <v>2017</v>
      </c>
      <c r="T41" s="58">
        <v>94.8</v>
      </c>
      <c r="U41" s="58">
        <v>0.85604399999999992</v>
      </c>
      <c r="V41" s="58">
        <v>0.85604399999999992</v>
      </c>
      <c r="W41" s="58">
        <v>0.64139014590967736</v>
      </c>
      <c r="X41" s="59">
        <v>44837</v>
      </c>
      <c r="Y41" s="58">
        <v>2022</v>
      </c>
      <c r="Z41" s="58" t="s">
        <v>165</v>
      </c>
      <c r="AA41" s="58" t="s">
        <v>169</v>
      </c>
      <c r="AB41" s="59">
        <v>46022</v>
      </c>
    </row>
    <row r="42" spans="1:28" x14ac:dyDescent="0.2">
      <c r="A42" s="58" t="s">
        <v>261</v>
      </c>
      <c r="B42" s="58" t="s">
        <v>354</v>
      </c>
      <c r="C42" s="58" t="s">
        <v>85</v>
      </c>
      <c r="D42" s="58" t="s">
        <v>85</v>
      </c>
      <c r="E42" s="58" t="s">
        <v>24</v>
      </c>
      <c r="F42" s="59">
        <v>41958</v>
      </c>
      <c r="G42" s="58">
        <v>2014</v>
      </c>
      <c r="H42" s="58">
        <v>11.4</v>
      </c>
      <c r="I42" s="58">
        <v>1</v>
      </c>
      <c r="J42" s="58">
        <f t="shared" si="1"/>
        <v>11.4</v>
      </c>
      <c r="K42" s="58">
        <v>2372.8070175438593</v>
      </c>
      <c r="L42" s="58">
        <v>27.049999999999997</v>
      </c>
      <c r="M42" s="58">
        <v>0.16462216817372943</v>
      </c>
      <c r="N42" s="58">
        <v>4.4530296490993804</v>
      </c>
      <c r="O42" s="58" t="s">
        <v>25</v>
      </c>
      <c r="P42" s="58">
        <v>88.1</v>
      </c>
      <c r="Q42" s="58">
        <v>2.3831049999999996</v>
      </c>
      <c r="R42" s="58">
        <v>0.39231191208565536</v>
      </c>
      <c r="S42" s="58">
        <v>2024</v>
      </c>
      <c r="T42" s="58">
        <v>88.1</v>
      </c>
      <c r="U42" s="58">
        <v>2.3831049999999996</v>
      </c>
      <c r="V42" s="58">
        <v>2.3831049999999996</v>
      </c>
      <c r="W42" s="58">
        <v>1.9907930879143441</v>
      </c>
      <c r="X42" s="59">
        <v>47436</v>
      </c>
      <c r="Y42" s="58">
        <v>2029</v>
      </c>
    </row>
    <row r="43" spans="1:28" x14ac:dyDescent="0.2">
      <c r="A43" s="58" t="s">
        <v>259</v>
      </c>
      <c r="B43" s="58" t="s">
        <v>353</v>
      </c>
      <c r="C43" s="58" t="s">
        <v>83</v>
      </c>
      <c r="D43" s="58" t="s">
        <v>83</v>
      </c>
      <c r="E43" s="58" t="s">
        <v>24</v>
      </c>
      <c r="F43" s="59">
        <v>41927</v>
      </c>
      <c r="G43" s="58">
        <v>2014</v>
      </c>
      <c r="H43" s="58">
        <v>11.4</v>
      </c>
      <c r="I43" s="58">
        <v>1</v>
      </c>
      <c r="J43" s="58">
        <f t="shared" si="1"/>
        <v>11.4</v>
      </c>
      <c r="K43" s="58">
        <v>2372.8070175438593</v>
      </c>
      <c r="L43" s="58">
        <v>27.049999999999997</v>
      </c>
      <c r="M43" s="58">
        <v>0.262075398115512</v>
      </c>
      <c r="N43" s="58">
        <v>7.0891395190245987</v>
      </c>
      <c r="O43" s="58" t="s">
        <v>25</v>
      </c>
      <c r="P43" s="58">
        <v>88.1</v>
      </c>
      <c r="Q43" s="58">
        <v>2.3831049999999996</v>
      </c>
      <c r="R43" s="58">
        <v>0.62455319162606715</v>
      </c>
      <c r="S43" s="58">
        <v>2024</v>
      </c>
      <c r="T43" s="58">
        <v>88.1</v>
      </c>
      <c r="U43" s="58">
        <v>2.3831049999999996</v>
      </c>
      <c r="V43" s="58">
        <v>2.3831049999999996</v>
      </c>
      <c r="W43" s="58">
        <v>1.7585518083739324</v>
      </c>
      <c r="X43" s="59">
        <v>47405</v>
      </c>
      <c r="Y43" s="58">
        <v>2029</v>
      </c>
    </row>
    <row r="44" spans="1:28" x14ac:dyDescent="0.2">
      <c r="A44" s="58" t="s">
        <v>282</v>
      </c>
      <c r="B44" s="58" t="s">
        <v>367</v>
      </c>
      <c r="C44" s="58" t="s">
        <v>110</v>
      </c>
      <c r="D44" s="58" t="s">
        <v>110</v>
      </c>
      <c r="E44" s="58" t="s">
        <v>24</v>
      </c>
      <c r="F44" s="59">
        <v>43409</v>
      </c>
      <c r="G44" s="58">
        <v>2018</v>
      </c>
      <c r="H44" s="58">
        <v>19.8</v>
      </c>
      <c r="I44" s="58">
        <v>1</v>
      </c>
      <c r="J44" s="58">
        <f t="shared" si="1"/>
        <v>19.8</v>
      </c>
      <c r="K44" s="58">
        <v>3331.3130808080805</v>
      </c>
      <c r="L44" s="58">
        <v>65.959998999999996</v>
      </c>
      <c r="M44" s="58">
        <v>0.1901116589364007</v>
      </c>
      <c r="N44" s="58">
        <v>12.539764833333331</v>
      </c>
      <c r="O44" s="58" t="s">
        <v>25</v>
      </c>
      <c r="P44" s="58">
        <v>82.5</v>
      </c>
      <c r="Q44" s="58">
        <v>5.4416999175000003</v>
      </c>
      <c r="R44" s="58">
        <v>1.0345305987499998</v>
      </c>
      <c r="S44" s="58">
        <v>2028</v>
      </c>
      <c r="T44" s="58">
        <v>41.434345959595959</v>
      </c>
      <c r="U44" s="58">
        <v>2.7330094180606035</v>
      </c>
      <c r="V44" s="58">
        <v>4.9267462731063087</v>
      </c>
      <c r="W44" s="58">
        <v>2.213432463704295</v>
      </c>
      <c r="X44" s="59">
        <v>48887</v>
      </c>
      <c r="Y44" s="58">
        <v>2033</v>
      </c>
    </row>
    <row r="45" spans="1:28" x14ac:dyDescent="0.2">
      <c r="A45" s="58" t="s">
        <v>243</v>
      </c>
      <c r="B45" s="61" t="s">
        <v>189</v>
      </c>
      <c r="C45" s="58" t="s">
        <v>66</v>
      </c>
      <c r="D45" s="58" t="s">
        <v>189</v>
      </c>
      <c r="E45" s="58" t="s">
        <v>24</v>
      </c>
      <c r="F45" s="59">
        <v>40392</v>
      </c>
      <c r="G45" s="58">
        <v>2010</v>
      </c>
      <c r="H45" s="58">
        <v>9.3000000000000007</v>
      </c>
      <c r="I45" s="58">
        <v>1</v>
      </c>
      <c r="J45" s="58">
        <f t="shared" si="1"/>
        <v>9.3000000000000007</v>
      </c>
      <c r="K45" s="58">
        <v>1757.1428575</v>
      </c>
      <c r="L45" s="58">
        <v>42.171428579999997</v>
      </c>
      <c r="M45" s="58">
        <v>0.42183075852952573</v>
      </c>
      <c r="N45" s="58">
        <v>17.789205706175117</v>
      </c>
      <c r="O45" s="58" t="s">
        <v>25</v>
      </c>
      <c r="P45" s="58">
        <v>94.6</v>
      </c>
      <c r="Q45" s="58">
        <v>3.9894171436679993</v>
      </c>
      <c r="R45" s="58">
        <v>1.6828588598041661</v>
      </c>
      <c r="S45" s="58">
        <v>2020</v>
      </c>
      <c r="T45" s="58">
        <v>94.6</v>
      </c>
      <c r="U45" s="58">
        <v>3.9894171436679993</v>
      </c>
      <c r="V45" s="58">
        <v>3.9894171436679993</v>
      </c>
      <c r="W45" s="58">
        <v>2.3065582838638332</v>
      </c>
      <c r="X45" s="59">
        <v>45870</v>
      </c>
      <c r="Y45" s="58">
        <v>2025</v>
      </c>
      <c r="Z45" s="58" t="s">
        <v>179</v>
      </c>
    </row>
    <row r="46" spans="1:28" x14ac:dyDescent="0.2">
      <c r="A46" s="58" t="s">
        <v>254</v>
      </c>
      <c r="B46" s="58" t="s">
        <v>79</v>
      </c>
      <c r="C46" s="58" t="s">
        <v>79</v>
      </c>
      <c r="D46" s="58" t="s">
        <v>79</v>
      </c>
      <c r="E46" s="58" t="s">
        <v>24</v>
      </c>
      <c r="F46" s="59">
        <v>41381</v>
      </c>
      <c r="G46" s="58">
        <v>2013</v>
      </c>
      <c r="H46" s="58">
        <v>3</v>
      </c>
      <c r="I46" s="58">
        <v>1</v>
      </c>
      <c r="J46" s="58">
        <f t="shared" si="1"/>
        <v>3</v>
      </c>
      <c r="K46" s="58">
        <v>1757.1428575000002</v>
      </c>
      <c r="L46" s="58">
        <v>7.0285714300000013</v>
      </c>
      <c r="M46" s="58">
        <v>0.63033015549519045</v>
      </c>
      <c r="N46" s="58">
        <v>4.4303205223809536</v>
      </c>
      <c r="O46" s="58" t="s">
        <v>25</v>
      </c>
      <c r="P46" s="58">
        <v>94.6</v>
      </c>
      <c r="Q46" s="58">
        <v>0.66490285727800003</v>
      </c>
      <c r="R46" s="58">
        <v>0.41910832141723819</v>
      </c>
      <c r="S46" s="58">
        <v>2023</v>
      </c>
      <c r="T46" s="58">
        <v>94.6</v>
      </c>
      <c r="U46" s="58">
        <v>0.66490285727800003</v>
      </c>
      <c r="V46" s="58">
        <v>0.66490285727800003</v>
      </c>
      <c r="W46" s="58">
        <v>0.24579453586076189</v>
      </c>
      <c r="X46" s="59">
        <v>46859</v>
      </c>
      <c r="Y46" s="58">
        <v>2028</v>
      </c>
    </row>
    <row r="47" spans="1:28" x14ac:dyDescent="0.2">
      <c r="A47" s="58" t="s">
        <v>244</v>
      </c>
      <c r="B47" s="58" t="s">
        <v>190</v>
      </c>
      <c r="D47" s="58" t="s">
        <v>190</v>
      </c>
      <c r="E47" s="58" t="s">
        <v>24</v>
      </c>
      <c r="F47" s="59">
        <v>40392</v>
      </c>
      <c r="G47" s="58">
        <v>2010</v>
      </c>
      <c r="H47" s="58">
        <v>9.3000000000000007</v>
      </c>
      <c r="I47" s="58">
        <v>1</v>
      </c>
      <c r="J47" s="58">
        <f t="shared" si="1"/>
        <v>9.3000000000000007</v>
      </c>
      <c r="K47" s="58">
        <v>1757.1428575000002</v>
      </c>
      <c r="O47" s="58" t="s">
        <v>25</v>
      </c>
      <c r="X47" s="59">
        <v>45870</v>
      </c>
      <c r="Y47" s="58">
        <v>2025</v>
      </c>
    </row>
    <row r="48" spans="1:28" x14ac:dyDescent="0.2">
      <c r="A48" s="58" t="s">
        <v>281</v>
      </c>
      <c r="B48" s="58" t="s">
        <v>366</v>
      </c>
      <c r="C48" s="58" t="s">
        <v>107</v>
      </c>
      <c r="D48" s="58" t="s">
        <v>107</v>
      </c>
      <c r="E48" s="58" t="s">
        <v>24</v>
      </c>
      <c r="F48" s="59">
        <v>43367</v>
      </c>
      <c r="G48" s="58">
        <v>2018</v>
      </c>
      <c r="H48" s="58">
        <v>33</v>
      </c>
      <c r="I48" s="58">
        <v>1</v>
      </c>
      <c r="J48" s="58">
        <f t="shared" si="1"/>
        <v>33</v>
      </c>
      <c r="K48" s="58">
        <v>2792.4242727272731</v>
      </c>
      <c r="L48" s="58">
        <v>92.150001000000017</v>
      </c>
      <c r="M48" s="58">
        <v>0.31932043060965365</v>
      </c>
      <c r="N48" s="58">
        <v>29.42537800000002</v>
      </c>
      <c r="O48" s="58" t="s">
        <v>25</v>
      </c>
      <c r="P48" s="58">
        <v>83</v>
      </c>
      <c r="Q48" s="58">
        <v>7.648450083000002</v>
      </c>
      <c r="R48" s="58">
        <v>2.4423063740000015</v>
      </c>
      <c r="S48" s="58">
        <v>2028</v>
      </c>
      <c r="T48" s="58">
        <v>68.284089772727256</v>
      </c>
      <c r="U48" s="58">
        <v>6.2923789408409077</v>
      </c>
      <c r="V48" s="58">
        <v>7.2154288619484337</v>
      </c>
      <c r="W48" s="58">
        <v>4.2830937878924722</v>
      </c>
      <c r="X48" s="59">
        <v>48845</v>
      </c>
      <c r="Y48" s="58">
        <v>2033</v>
      </c>
    </row>
    <row r="49" spans="1:30" x14ac:dyDescent="0.2">
      <c r="A49" s="58" t="s">
        <v>221</v>
      </c>
      <c r="B49" s="58" t="s">
        <v>326</v>
      </c>
      <c r="C49" s="58" t="s">
        <v>36</v>
      </c>
      <c r="D49" s="58" t="s">
        <v>36</v>
      </c>
      <c r="E49" s="58" t="s">
        <v>24</v>
      </c>
      <c r="F49" s="59">
        <v>39278</v>
      </c>
      <c r="G49" s="58">
        <v>2007</v>
      </c>
      <c r="H49" s="58">
        <v>13.8</v>
      </c>
      <c r="I49" s="58">
        <v>1</v>
      </c>
      <c r="J49" s="58">
        <f t="shared" si="1"/>
        <v>13.8</v>
      </c>
      <c r="K49" s="58">
        <v>2144.9274637681156</v>
      </c>
      <c r="L49" s="58">
        <v>29.599998999999997</v>
      </c>
      <c r="M49" s="58">
        <v>0.44405224582129427</v>
      </c>
      <c r="N49" s="58">
        <v>13.143946032258063</v>
      </c>
      <c r="O49" s="58" t="s">
        <v>25</v>
      </c>
      <c r="P49" s="58">
        <v>95.3</v>
      </c>
      <c r="Q49" s="58">
        <v>2.8208799046999999</v>
      </c>
      <c r="R49" s="58">
        <v>1.2526180568741934</v>
      </c>
      <c r="S49" s="58">
        <v>2017</v>
      </c>
      <c r="T49" s="58">
        <v>95.3</v>
      </c>
      <c r="U49" s="58">
        <v>2.8208799046999999</v>
      </c>
      <c r="V49" s="58">
        <v>2.8208799046999995</v>
      </c>
      <c r="W49" s="58">
        <v>1.5682618478258061</v>
      </c>
      <c r="X49" s="59">
        <v>44756</v>
      </c>
      <c r="Y49" s="58">
        <v>2022</v>
      </c>
      <c r="Z49" s="58" t="s">
        <v>165</v>
      </c>
      <c r="AA49" s="58" t="s">
        <v>168</v>
      </c>
      <c r="AB49" s="59">
        <v>46387</v>
      </c>
    </row>
    <row r="50" spans="1:30" x14ac:dyDescent="0.2">
      <c r="A50" s="58" t="s">
        <v>406</v>
      </c>
      <c r="B50" s="58" t="s">
        <v>379</v>
      </c>
      <c r="C50" s="58" t="s">
        <v>132</v>
      </c>
      <c r="D50" s="58" t="s">
        <v>132</v>
      </c>
      <c r="E50" s="58" t="s">
        <v>24</v>
      </c>
      <c r="F50" s="59">
        <v>44531</v>
      </c>
      <c r="G50" s="58">
        <v>2021</v>
      </c>
      <c r="H50" s="58">
        <v>8.8000000000000007</v>
      </c>
      <c r="I50" s="58">
        <v>1</v>
      </c>
      <c r="J50" s="58">
        <f t="shared" si="1"/>
        <v>8.8000000000000007</v>
      </c>
      <c r="K50" s="58">
        <v>2544.3181818181815</v>
      </c>
      <c r="L50" s="58">
        <v>22.39</v>
      </c>
      <c r="M50" s="58">
        <v>0.10366281915761544</v>
      </c>
      <c r="N50" s="58">
        <v>2.3210105209390095</v>
      </c>
      <c r="O50" s="58" t="s">
        <v>117</v>
      </c>
      <c r="P50" s="58">
        <v>74.8</v>
      </c>
      <c r="Q50" s="58">
        <v>1.6747719999999999</v>
      </c>
      <c r="R50" s="58">
        <v>0.17361158696623791</v>
      </c>
      <c r="S50" s="58">
        <v>2041</v>
      </c>
      <c r="T50" s="58">
        <v>74.8</v>
      </c>
      <c r="U50" s="58">
        <v>1.6747719999999999</v>
      </c>
      <c r="V50" s="58">
        <v>1.6747719999999999</v>
      </c>
      <c r="W50" s="58">
        <v>1.5011604130337621</v>
      </c>
      <c r="X50" s="59">
        <v>51835</v>
      </c>
      <c r="Y50" s="58">
        <v>2041</v>
      </c>
    </row>
    <row r="51" spans="1:30" x14ac:dyDescent="0.2">
      <c r="A51" s="58" t="s">
        <v>287</v>
      </c>
      <c r="B51" s="58" t="s">
        <v>370</v>
      </c>
      <c r="C51" s="58" t="s">
        <v>116</v>
      </c>
      <c r="D51" s="58" t="s">
        <v>116</v>
      </c>
      <c r="E51" s="58" t="s">
        <v>24</v>
      </c>
      <c r="F51" s="59">
        <v>43617</v>
      </c>
      <c r="G51" s="58">
        <v>2019</v>
      </c>
      <c r="H51" s="58">
        <v>10</v>
      </c>
      <c r="I51" s="58">
        <v>1</v>
      </c>
      <c r="J51" s="58">
        <f t="shared" si="1"/>
        <v>10</v>
      </c>
      <c r="K51" s="58">
        <v>3280.0001999999999</v>
      </c>
      <c r="L51" s="58">
        <v>32.800001999999999</v>
      </c>
      <c r="M51" s="58">
        <v>0.54924968703762067</v>
      </c>
      <c r="N51" s="58">
        <v>18.015390833333331</v>
      </c>
      <c r="O51" s="58" t="s">
        <v>117</v>
      </c>
      <c r="P51" s="58">
        <v>70.193169061392126</v>
      </c>
      <c r="Q51" s="58">
        <v>2.3023360855999999</v>
      </c>
      <c r="R51" s="58">
        <v>1.2645573744712206</v>
      </c>
      <c r="S51" s="58">
        <v>2039</v>
      </c>
      <c r="T51" s="58">
        <v>70.193169061392126</v>
      </c>
      <c r="U51" s="58">
        <v>2.3023360855999999</v>
      </c>
      <c r="V51" s="58">
        <v>2.3023360855999999</v>
      </c>
      <c r="W51" s="58">
        <v>1.0377787111287793</v>
      </c>
      <c r="X51" s="59">
        <v>50921</v>
      </c>
      <c r="Y51" s="58">
        <v>2039</v>
      </c>
    </row>
    <row r="52" spans="1:30" x14ac:dyDescent="0.2">
      <c r="A52" s="58" t="s">
        <v>246</v>
      </c>
      <c r="B52" s="58" t="s">
        <v>341</v>
      </c>
      <c r="C52" s="58" t="s">
        <v>69</v>
      </c>
      <c r="D52" s="58" t="s">
        <v>69</v>
      </c>
      <c r="E52" s="58" t="s">
        <v>24</v>
      </c>
      <c r="F52" s="59">
        <v>40452</v>
      </c>
      <c r="G52" s="58">
        <v>2010</v>
      </c>
      <c r="H52" s="58">
        <v>10</v>
      </c>
      <c r="I52" s="58">
        <v>1</v>
      </c>
      <c r="J52" s="58">
        <f t="shared" si="1"/>
        <v>10</v>
      </c>
      <c r="K52" s="58">
        <v>2439.9998999999998</v>
      </c>
      <c r="L52" s="58">
        <v>24.399998999999998</v>
      </c>
      <c r="M52" s="58">
        <v>0.29878570764457546</v>
      </c>
      <c r="N52" s="58">
        <v>7.2903709677419331</v>
      </c>
      <c r="O52" s="58" t="s">
        <v>25</v>
      </c>
      <c r="P52" s="58">
        <v>95.2</v>
      </c>
      <c r="Q52" s="58">
        <v>2.3228799047999997</v>
      </c>
      <c r="R52" s="58">
        <v>0.69404331612903203</v>
      </c>
      <c r="S52" s="58">
        <v>2020</v>
      </c>
      <c r="T52" s="58">
        <v>92.480006799999984</v>
      </c>
      <c r="U52" s="58">
        <v>2.2565120734399926</v>
      </c>
      <c r="V52" s="58">
        <v>2.3030501453422643</v>
      </c>
      <c r="W52" s="58">
        <v>1.5822985167686963</v>
      </c>
      <c r="X52" s="59">
        <v>45930</v>
      </c>
      <c r="Y52" s="58">
        <v>2025</v>
      </c>
      <c r="Z52" s="58" t="s">
        <v>165</v>
      </c>
      <c r="AA52" s="58">
        <v>2026</v>
      </c>
      <c r="AB52" s="59">
        <v>46387</v>
      </c>
    </row>
    <row r="53" spans="1:30" x14ac:dyDescent="0.2">
      <c r="A53" s="58" t="s">
        <v>284</v>
      </c>
      <c r="B53" s="58" t="s">
        <v>112</v>
      </c>
      <c r="C53" s="58" t="s">
        <v>112</v>
      </c>
      <c r="D53" s="58" t="s">
        <v>112</v>
      </c>
      <c r="E53" s="58" t="s">
        <v>24</v>
      </c>
      <c r="F53" s="59">
        <v>43466</v>
      </c>
      <c r="G53" s="58">
        <v>2019</v>
      </c>
      <c r="H53" s="58">
        <v>10</v>
      </c>
      <c r="I53" s="58">
        <v>1</v>
      </c>
      <c r="J53" s="58">
        <f t="shared" si="1"/>
        <v>10</v>
      </c>
      <c r="K53" s="58">
        <v>2870</v>
      </c>
      <c r="L53" s="58">
        <v>28.7</v>
      </c>
      <c r="M53" s="58">
        <v>0.99655489153647303</v>
      </c>
      <c r="N53" s="58">
        <v>28.601125387096776</v>
      </c>
      <c r="O53" s="58" t="s">
        <v>109</v>
      </c>
      <c r="P53" s="58">
        <v>83.77</v>
      </c>
      <c r="Q53" s="58">
        <v>2.4041989999999998</v>
      </c>
      <c r="R53" s="58">
        <v>2.3959162736770967</v>
      </c>
      <c r="S53" s="58">
        <v>2029</v>
      </c>
      <c r="T53" s="58">
        <v>64.5</v>
      </c>
      <c r="U53" s="58">
        <v>1.8511499999999999</v>
      </c>
      <c r="V53" s="58">
        <v>1.8530553137906451</v>
      </c>
      <c r="W53" s="58">
        <v>6.3774125322579242E-3</v>
      </c>
      <c r="X53" s="59">
        <v>48944</v>
      </c>
      <c r="Y53" s="58">
        <v>2033</v>
      </c>
    </row>
    <row r="54" spans="1:30" x14ac:dyDescent="0.2">
      <c r="A54" s="58" t="s">
        <v>226</v>
      </c>
      <c r="B54" s="58" t="s">
        <v>329</v>
      </c>
      <c r="C54" s="58" t="s">
        <v>43</v>
      </c>
      <c r="D54" s="58" t="s">
        <v>43</v>
      </c>
      <c r="E54" s="58" t="s">
        <v>24</v>
      </c>
      <c r="F54" s="59">
        <v>39813</v>
      </c>
      <c r="G54" s="58">
        <v>2008</v>
      </c>
      <c r="H54" s="58">
        <v>8</v>
      </c>
      <c r="I54" s="58">
        <v>1</v>
      </c>
      <c r="J54" s="58">
        <f t="shared" si="1"/>
        <v>8</v>
      </c>
      <c r="K54" s="58">
        <v>1775.0001249999998</v>
      </c>
      <c r="L54" s="58">
        <v>14.200000999999999</v>
      </c>
      <c r="M54" s="58">
        <v>0</v>
      </c>
      <c r="N54" s="58">
        <v>0</v>
      </c>
      <c r="O54" s="58" t="s">
        <v>25</v>
      </c>
      <c r="P54" s="58">
        <v>91.9</v>
      </c>
      <c r="Q54" s="58">
        <v>1.3049800918999999</v>
      </c>
      <c r="R54" s="58">
        <v>0</v>
      </c>
      <c r="S54" s="58">
        <v>2018</v>
      </c>
      <c r="T54" s="58">
        <v>91.9</v>
      </c>
      <c r="U54" s="58">
        <v>1.3049800918999999</v>
      </c>
      <c r="V54" s="58">
        <v>1.3049800918999999</v>
      </c>
      <c r="W54" s="58">
        <v>1.3049800918999999</v>
      </c>
      <c r="X54" s="59">
        <v>45290</v>
      </c>
      <c r="Y54" s="58">
        <v>2023</v>
      </c>
      <c r="Z54" s="58" t="s">
        <v>164</v>
      </c>
      <c r="AC54" s="58">
        <v>2034</v>
      </c>
    </row>
    <row r="55" spans="1:30" x14ac:dyDescent="0.2">
      <c r="A55" s="58" t="s">
        <v>248</v>
      </c>
      <c r="B55" s="58" t="s">
        <v>342</v>
      </c>
      <c r="C55" s="58" t="s">
        <v>71</v>
      </c>
      <c r="D55" s="58" t="s">
        <v>71</v>
      </c>
      <c r="E55" s="58" t="s">
        <v>24</v>
      </c>
      <c r="F55" s="59">
        <v>40623</v>
      </c>
      <c r="G55" s="58">
        <v>2011</v>
      </c>
      <c r="H55" s="58">
        <v>8</v>
      </c>
      <c r="I55" s="58">
        <v>1</v>
      </c>
      <c r="J55" s="58">
        <f t="shared" si="1"/>
        <v>8</v>
      </c>
      <c r="K55" s="58">
        <v>1904.999875</v>
      </c>
      <c r="L55" s="58">
        <v>15.239998999999999</v>
      </c>
      <c r="M55" s="58">
        <v>0.71502789172353021</v>
      </c>
      <c r="N55" s="58">
        <v>10.897024354838708</v>
      </c>
      <c r="O55" s="58" t="s">
        <v>25</v>
      </c>
      <c r="P55" s="58">
        <v>93.9</v>
      </c>
      <c r="Q55" s="58">
        <v>1.4310359061</v>
      </c>
      <c r="R55" s="58">
        <v>1.0232305869193548</v>
      </c>
      <c r="S55" s="58">
        <v>2021</v>
      </c>
      <c r="T55" s="58">
        <v>93.9</v>
      </c>
      <c r="U55" s="58">
        <v>1.4310359061</v>
      </c>
      <c r="V55" s="58">
        <v>1.4310359061</v>
      </c>
      <c r="W55" s="58">
        <v>0.40780531918064533</v>
      </c>
      <c r="X55" s="59">
        <v>46101</v>
      </c>
      <c r="Y55" s="58">
        <v>2026</v>
      </c>
      <c r="Z55" s="58" t="s">
        <v>165</v>
      </c>
      <c r="AA55" s="58">
        <v>2027</v>
      </c>
      <c r="AB55" s="59">
        <v>46752</v>
      </c>
    </row>
    <row r="56" spans="1:30" x14ac:dyDescent="0.2">
      <c r="A56" s="58" t="s">
        <v>227</v>
      </c>
      <c r="B56" s="58" t="s">
        <v>44</v>
      </c>
      <c r="C56" s="58" t="s">
        <v>44</v>
      </c>
      <c r="D56" s="58" t="s">
        <v>44</v>
      </c>
      <c r="E56" s="58" t="s">
        <v>24</v>
      </c>
      <c r="F56" s="59">
        <v>39813</v>
      </c>
      <c r="G56" s="58">
        <v>2008</v>
      </c>
      <c r="H56" s="58">
        <v>12</v>
      </c>
      <c r="I56" s="58">
        <v>1</v>
      </c>
      <c r="J56" s="58">
        <f t="shared" si="1"/>
        <v>12</v>
      </c>
      <c r="K56" s="58">
        <v>1669.1666666666667</v>
      </c>
      <c r="L56" s="58">
        <v>20.03</v>
      </c>
      <c r="M56" s="58">
        <v>-2.2204460492503131E-16</v>
      </c>
      <c r="N56" s="58">
        <v>-4.4475534366483774E-15</v>
      </c>
      <c r="O56" s="58" t="s">
        <v>25</v>
      </c>
      <c r="P56" s="58">
        <v>91.9</v>
      </c>
      <c r="Q56" s="58">
        <v>1.8407570000000002</v>
      </c>
      <c r="R56" s="58">
        <v>-4.087301608279859E-16</v>
      </c>
      <c r="S56" s="58">
        <v>2018</v>
      </c>
      <c r="T56" s="58">
        <v>91.9</v>
      </c>
      <c r="U56" s="58">
        <v>1.8407570000000002</v>
      </c>
      <c r="V56" s="58">
        <v>1.8407570000000002</v>
      </c>
      <c r="W56" s="58">
        <v>1.8407570000000004</v>
      </c>
      <c r="X56" s="59">
        <v>45290</v>
      </c>
      <c r="Y56" s="58">
        <v>2023</v>
      </c>
      <c r="Z56" s="58" t="s">
        <v>177</v>
      </c>
      <c r="AA56" s="58">
        <v>2024</v>
      </c>
      <c r="AB56" s="59">
        <v>45657</v>
      </c>
      <c r="AC56" s="58">
        <v>2033</v>
      </c>
    </row>
    <row r="57" spans="1:30" x14ac:dyDescent="0.2">
      <c r="A57" s="58" t="s">
        <v>223</v>
      </c>
      <c r="B57" s="58" t="s">
        <v>39</v>
      </c>
      <c r="C57" s="58" t="s">
        <v>39</v>
      </c>
      <c r="D57" s="58" t="s">
        <v>39</v>
      </c>
      <c r="E57" s="58" t="s">
        <v>24</v>
      </c>
      <c r="F57" s="59">
        <v>39418</v>
      </c>
      <c r="G57" s="58">
        <v>2007</v>
      </c>
      <c r="H57" s="58">
        <v>10</v>
      </c>
      <c r="I57" s="58">
        <v>1</v>
      </c>
      <c r="J57" s="58">
        <f t="shared" si="1"/>
        <v>10</v>
      </c>
      <c r="K57" s="58">
        <v>1697.9999</v>
      </c>
      <c r="L57" s="58">
        <v>16.979998999999999</v>
      </c>
      <c r="M57" s="58">
        <v>0.10909389866999288</v>
      </c>
      <c r="N57" s="58">
        <v>1.8524142903225802</v>
      </c>
      <c r="O57" s="58" t="s">
        <v>25</v>
      </c>
      <c r="P57" s="58">
        <v>94.7</v>
      </c>
      <c r="Q57" s="58">
        <v>1.6080059053</v>
      </c>
      <c r="R57" s="58">
        <v>0.17542363329354838</v>
      </c>
      <c r="S57" s="58">
        <v>2017</v>
      </c>
      <c r="T57" s="58">
        <v>94.7</v>
      </c>
      <c r="U57" s="58">
        <v>1.6080059053</v>
      </c>
      <c r="V57" s="58">
        <v>1.6080059053</v>
      </c>
      <c r="W57" s="58">
        <v>1.4325822720064516</v>
      </c>
      <c r="X57" s="59">
        <v>44896</v>
      </c>
      <c r="Y57" s="58">
        <v>2022</v>
      </c>
      <c r="Z57" s="58" t="s">
        <v>165</v>
      </c>
      <c r="AA57" s="58" t="s">
        <v>176</v>
      </c>
      <c r="AB57" s="59">
        <v>45657</v>
      </c>
      <c r="AC57" s="58">
        <v>2035</v>
      </c>
    </row>
    <row r="58" spans="1:30" x14ac:dyDescent="0.2">
      <c r="A58" s="58" t="s">
        <v>317</v>
      </c>
      <c r="B58" s="58" t="s">
        <v>315</v>
      </c>
      <c r="D58" s="58" t="s">
        <v>196</v>
      </c>
      <c r="E58" s="58" t="s">
        <v>24</v>
      </c>
      <c r="F58" s="59">
        <v>41610</v>
      </c>
      <c r="G58" s="58">
        <v>2013</v>
      </c>
      <c r="H58" s="58">
        <v>4.4000000000000004</v>
      </c>
      <c r="I58" s="58">
        <v>1</v>
      </c>
      <c r="J58" s="58">
        <f t="shared" si="1"/>
        <v>4.4000000000000004</v>
      </c>
      <c r="O58" s="58" t="s">
        <v>25</v>
      </c>
      <c r="S58" s="58">
        <v>2023</v>
      </c>
      <c r="X58" s="59">
        <v>47088</v>
      </c>
      <c r="Y58" s="58">
        <v>2028</v>
      </c>
    </row>
    <row r="59" spans="1:30" x14ac:dyDescent="0.2">
      <c r="A59" s="58" t="s">
        <v>258</v>
      </c>
      <c r="B59" s="58" t="s">
        <v>316</v>
      </c>
      <c r="D59" s="58" t="s">
        <v>197</v>
      </c>
      <c r="E59" s="58" t="s">
        <v>24</v>
      </c>
      <c r="F59" s="59">
        <v>41610</v>
      </c>
      <c r="G59" s="58">
        <v>2013</v>
      </c>
      <c r="H59" s="58">
        <v>3.5</v>
      </c>
      <c r="I59" s="58">
        <v>1</v>
      </c>
      <c r="J59" s="58">
        <f t="shared" si="1"/>
        <v>3.5</v>
      </c>
      <c r="O59" s="58" t="s">
        <v>25</v>
      </c>
      <c r="S59" s="58">
        <v>2023</v>
      </c>
      <c r="X59" s="59">
        <v>47088</v>
      </c>
      <c r="Y59" s="58">
        <v>2028</v>
      </c>
    </row>
    <row r="60" spans="1:30" x14ac:dyDescent="0.2">
      <c r="A60" s="58" t="s">
        <v>257</v>
      </c>
      <c r="B60" s="58" t="s">
        <v>314</v>
      </c>
      <c r="D60" s="58" t="s">
        <v>195</v>
      </c>
      <c r="E60" s="58" t="s">
        <v>24</v>
      </c>
      <c r="F60" s="59">
        <v>41610</v>
      </c>
      <c r="G60" s="58">
        <v>2013</v>
      </c>
      <c r="H60" s="58">
        <v>17.5</v>
      </c>
      <c r="I60" s="58">
        <v>1</v>
      </c>
      <c r="J60" s="58">
        <f t="shared" si="1"/>
        <v>17.5</v>
      </c>
      <c r="O60" s="58" t="s">
        <v>25</v>
      </c>
      <c r="S60" s="58">
        <v>2023</v>
      </c>
      <c r="X60" s="59">
        <v>44742</v>
      </c>
      <c r="Y60" s="58">
        <v>2022</v>
      </c>
      <c r="AB60" s="59">
        <v>44926</v>
      </c>
    </row>
    <row r="61" spans="1:30" x14ac:dyDescent="0.2">
      <c r="A61" s="58" t="s">
        <v>274</v>
      </c>
      <c r="B61" s="58" t="s">
        <v>361</v>
      </c>
      <c r="C61" s="58" t="s">
        <v>99</v>
      </c>
      <c r="D61" s="58" t="s">
        <v>200</v>
      </c>
      <c r="E61" s="58" t="s">
        <v>24</v>
      </c>
      <c r="F61" s="59">
        <v>42948</v>
      </c>
      <c r="G61" s="58">
        <v>2017</v>
      </c>
      <c r="H61" s="58">
        <v>14.8</v>
      </c>
      <c r="I61" s="58">
        <v>1</v>
      </c>
      <c r="J61" s="58">
        <f t="shared" si="1"/>
        <v>14.8</v>
      </c>
      <c r="K61" s="58">
        <v>2805.4166666666665</v>
      </c>
      <c r="L61" s="58">
        <v>67.33</v>
      </c>
      <c r="M61" s="58">
        <v>0.43134486616232981</v>
      </c>
      <c r="N61" s="58">
        <v>29.042449838709665</v>
      </c>
      <c r="O61" s="58" t="s">
        <v>25</v>
      </c>
      <c r="P61" s="58">
        <v>86.7</v>
      </c>
      <c r="Q61" s="58">
        <v>5.8375110000000001</v>
      </c>
      <c r="R61" s="58">
        <v>2.517980401016128</v>
      </c>
      <c r="S61" s="58">
        <v>2027</v>
      </c>
      <c r="T61" s="58">
        <v>67.729166666666657</v>
      </c>
      <c r="U61" s="58">
        <v>4.5602047916666661</v>
      </c>
      <c r="V61" s="58">
        <v>5.2865515245181447</v>
      </c>
      <c r="W61" s="58">
        <v>2.5931838661323927</v>
      </c>
      <c r="X61" s="59">
        <v>48426</v>
      </c>
      <c r="Y61" s="58">
        <v>2032</v>
      </c>
    </row>
    <row r="62" spans="1:30" x14ac:dyDescent="0.2">
      <c r="A62" s="58" t="s">
        <v>275</v>
      </c>
      <c r="B62" s="58" t="s">
        <v>362</v>
      </c>
      <c r="D62" s="58" t="s">
        <v>201</v>
      </c>
      <c r="E62" s="58" t="s">
        <v>24</v>
      </c>
      <c r="F62" s="59">
        <v>42949</v>
      </c>
      <c r="G62" s="58">
        <v>2017</v>
      </c>
      <c r="H62" s="58">
        <v>15.1</v>
      </c>
      <c r="I62" s="58">
        <v>1</v>
      </c>
      <c r="J62" s="58">
        <f t="shared" si="1"/>
        <v>15.1</v>
      </c>
      <c r="K62" s="58">
        <v>2805.4166666666665</v>
      </c>
      <c r="O62" s="58" t="s">
        <v>25</v>
      </c>
      <c r="S62" s="58">
        <v>2027</v>
      </c>
      <c r="X62" s="59">
        <v>48426</v>
      </c>
      <c r="Y62" s="58">
        <v>2032</v>
      </c>
    </row>
    <row r="63" spans="1:30" x14ac:dyDescent="0.2">
      <c r="A63" s="58" t="s">
        <v>271</v>
      </c>
      <c r="B63" s="58" t="s">
        <v>95</v>
      </c>
      <c r="C63" s="58" t="s">
        <v>95</v>
      </c>
      <c r="D63" s="58" t="s">
        <v>95</v>
      </c>
      <c r="E63" s="58" t="s">
        <v>24</v>
      </c>
      <c r="F63" s="59">
        <v>42705</v>
      </c>
      <c r="G63" s="58">
        <v>2016</v>
      </c>
      <c r="H63" s="58">
        <v>9.6</v>
      </c>
      <c r="I63" s="58">
        <v>1</v>
      </c>
      <c r="J63" s="58">
        <f t="shared" si="1"/>
        <v>9.6</v>
      </c>
      <c r="K63" s="58">
        <v>2006.2498958333333</v>
      </c>
      <c r="L63" s="58">
        <v>19.259999000000001</v>
      </c>
      <c r="M63" s="58">
        <v>0.10612160132946379</v>
      </c>
      <c r="N63" s="58">
        <v>2.0439019354838712</v>
      </c>
      <c r="O63" s="58" t="s">
        <v>25</v>
      </c>
      <c r="P63" s="58">
        <v>87.4</v>
      </c>
      <c r="Q63" s="58">
        <v>1.6833239126000001</v>
      </c>
      <c r="R63" s="58">
        <v>0.17863702916129034</v>
      </c>
      <c r="S63" s="58">
        <v>2026</v>
      </c>
      <c r="T63" s="58">
        <v>87.4</v>
      </c>
      <c r="U63" s="58">
        <v>1.6833239126000001</v>
      </c>
      <c r="V63" s="58">
        <v>1.6833239126000001</v>
      </c>
      <c r="W63" s="58">
        <v>1.5046868834387099</v>
      </c>
      <c r="X63" s="59">
        <v>48182</v>
      </c>
      <c r="Y63" s="58">
        <v>2031</v>
      </c>
    </row>
    <row r="64" spans="1:30" x14ac:dyDescent="0.2">
      <c r="A64" s="58" t="s">
        <v>215</v>
      </c>
      <c r="B64" s="58" t="s">
        <v>320</v>
      </c>
      <c r="C64" s="58" t="s">
        <v>27</v>
      </c>
      <c r="D64" s="58" t="s">
        <v>27</v>
      </c>
      <c r="E64" s="58" t="s">
        <v>24</v>
      </c>
      <c r="F64" s="59">
        <v>38343</v>
      </c>
      <c r="G64" s="58">
        <v>2004</v>
      </c>
      <c r="H64" s="58">
        <v>12</v>
      </c>
      <c r="I64" s="58">
        <v>1</v>
      </c>
      <c r="J64" s="58">
        <f t="shared" si="1"/>
        <v>12</v>
      </c>
      <c r="K64" s="58">
        <v>1475</v>
      </c>
      <c r="L64" s="58">
        <v>17.7</v>
      </c>
      <c r="M64" s="58">
        <v>3.6138017954705504E-2</v>
      </c>
      <c r="N64" s="58">
        <v>0.63964291779828741</v>
      </c>
      <c r="O64" s="58" t="s">
        <v>25</v>
      </c>
      <c r="P64" s="58">
        <v>98.4</v>
      </c>
      <c r="Q64" s="58">
        <v>1.7416800000000001</v>
      </c>
      <c r="R64" s="58">
        <v>6.2940863111351483E-2</v>
      </c>
      <c r="S64" s="58">
        <v>2014</v>
      </c>
      <c r="T64" s="58">
        <v>98.4</v>
      </c>
      <c r="U64" s="58">
        <v>1.7416800000000001</v>
      </c>
      <c r="V64" s="58">
        <v>1.7416800000000001</v>
      </c>
      <c r="W64" s="58">
        <v>1.6787391368886486</v>
      </c>
      <c r="X64" s="59">
        <v>43820</v>
      </c>
      <c r="Y64" s="58">
        <v>2019</v>
      </c>
      <c r="Z64" s="58" t="s">
        <v>164</v>
      </c>
      <c r="AC64" s="58">
        <v>2028</v>
      </c>
      <c r="AD64" s="58" t="s">
        <v>172</v>
      </c>
    </row>
    <row r="65" spans="1:29" x14ac:dyDescent="0.2">
      <c r="A65" s="58" t="s">
        <v>398</v>
      </c>
      <c r="B65" s="58" t="s">
        <v>399</v>
      </c>
      <c r="C65" s="58" t="s">
        <v>108</v>
      </c>
      <c r="D65" s="58" t="s">
        <v>108</v>
      </c>
      <c r="E65" s="58" t="s">
        <v>24</v>
      </c>
      <c r="F65" s="59">
        <v>43405</v>
      </c>
      <c r="G65" s="58">
        <v>2018</v>
      </c>
      <c r="H65" s="58">
        <v>10</v>
      </c>
      <c r="I65" s="58">
        <v>1</v>
      </c>
      <c r="J65" s="58">
        <f t="shared" si="1"/>
        <v>10</v>
      </c>
      <c r="K65" s="58">
        <v>2659.9998000000001</v>
      </c>
      <c r="L65" s="58">
        <v>26.599997999999999</v>
      </c>
      <c r="M65" s="58">
        <v>0.20138913794905799</v>
      </c>
      <c r="N65" s="58">
        <v>5.3569506666666662</v>
      </c>
      <c r="O65" s="58" t="s">
        <v>109</v>
      </c>
      <c r="P65" s="58">
        <v>83.77</v>
      </c>
      <c r="Q65" s="58">
        <v>2.22828183246</v>
      </c>
      <c r="R65" s="58">
        <v>0.44875175734666656</v>
      </c>
      <c r="S65" s="58">
        <v>2028</v>
      </c>
      <c r="T65" s="58">
        <v>73.51950788500001</v>
      </c>
      <c r="U65" s="58">
        <v>1.9556187627019845</v>
      </c>
      <c r="V65" s="58">
        <v>2.1733704518908894</v>
      </c>
      <c r="W65" s="58">
        <v>1.5617783859244285</v>
      </c>
      <c r="X65" s="59">
        <v>48883</v>
      </c>
      <c r="Y65" s="58">
        <v>2033</v>
      </c>
    </row>
    <row r="66" spans="1:29" x14ac:dyDescent="0.2">
      <c r="A66" s="58" t="s">
        <v>234</v>
      </c>
      <c r="B66" s="58" t="s">
        <v>52</v>
      </c>
      <c r="C66" s="58" t="s">
        <v>52</v>
      </c>
      <c r="D66" s="58" t="s">
        <v>53</v>
      </c>
      <c r="E66" s="58" t="s">
        <v>24</v>
      </c>
      <c r="F66" s="59">
        <v>40081</v>
      </c>
      <c r="G66" s="58">
        <v>2009</v>
      </c>
      <c r="H66" s="58">
        <v>10</v>
      </c>
      <c r="I66" s="58">
        <v>1</v>
      </c>
      <c r="J66" s="58">
        <f t="shared" ref="J66:J97" si="2">H66*I66</f>
        <v>10</v>
      </c>
      <c r="K66" s="58">
        <v>2188.8888888888891</v>
      </c>
      <c r="L66" s="58">
        <v>21.888888888888889</v>
      </c>
      <c r="M66" s="58">
        <v>0.31412567258883267</v>
      </c>
      <c r="N66" s="58">
        <v>6.8758619444444484</v>
      </c>
      <c r="O66" s="58" t="s">
        <v>25</v>
      </c>
      <c r="P66" s="58">
        <v>96.3</v>
      </c>
      <c r="Q66" s="58">
        <v>2.1078999999999999</v>
      </c>
      <c r="R66" s="58">
        <v>0.66214550525000038</v>
      </c>
      <c r="S66" s="58">
        <v>2019</v>
      </c>
      <c r="T66" s="58">
        <v>96.3</v>
      </c>
      <c r="U66" s="58">
        <v>2.1078999999999999</v>
      </c>
      <c r="V66" s="58">
        <v>2.1078999999999999</v>
      </c>
      <c r="W66" s="58">
        <v>1.4457544947499996</v>
      </c>
      <c r="X66" s="59">
        <v>45559</v>
      </c>
      <c r="Y66" s="58">
        <v>2024</v>
      </c>
      <c r="Z66" s="58" t="s">
        <v>165</v>
      </c>
      <c r="AA66" s="58" t="s">
        <v>169</v>
      </c>
      <c r="AB66" s="59">
        <v>46022</v>
      </c>
    </row>
    <row r="67" spans="1:29" x14ac:dyDescent="0.2">
      <c r="A67" s="58" t="s">
        <v>240</v>
      </c>
      <c r="B67" s="58" t="s">
        <v>335</v>
      </c>
      <c r="C67" s="58" t="s">
        <v>61</v>
      </c>
      <c r="D67" s="58" t="s">
        <v>62</v>
      </c>
      <c r="E67" s="58" t="s">
        <v>24</v>
      </c>
      <c r="F67" s="59">
        <v>40226</v>
      </c>
      <c r="G67" s="58">
        <v>2010</v>
      </c>
      <c r="H67" s="58">
        <v>8</v>
      </c>
      <c r="I67" s="58">
        <v>1</v>
      </c>
      <c r="J67" s="58">
        <f t="shared" si="2"/>
        <v>8</v>
      </c>
      <c r="K67" s="58">
        <v>2188.8888888888891</v>
      </c>
      <c r="L67" s="58">
        <v>17.511111111111113</v>
      </c>
      <c r="M67" s="58">
        <v>0.81630849891225532</v>
      </c>
      <c r="N67" s="58">
        <v>14.294468825396828</v>
      </c>
      <c r="O67" s="58" t="s">
        <v>25</v>
      </c>
      <c r="P67" s="58">
        <v>96.3</v>
      </c>
      <c r="Q67" s="58">
        <v>1.6863200000000003</v>
      </c>
      <c r="R67" s="58">
        <v>1.3765573478857145</v>
      </c>
      <c r="S67" s="58">
        <v>2020</v>
      </c>
      <c r="T67" s="58">
        <v>96.3</v>
      </c>
      <c r="U67" s="58">
        <v>1.6863200000000003</v>
      </c>
      <c r="V67" s="58">
        <v>1.6863200000000003</v>
      </c>
      <c r="W67" s="58">
        <v>0.30976265211428555</v>
      </c>
      <c r="X67" s="59">
        <v>45704</v>
      </c>
      <c r="Y67" s="58">
        <v>2025</v>
      </c>
      <c r="Z67" s="58" t="s">
        <v>165</v>
      </c>
      <c r="AA67" s="58" t="s">
        <v>169</v>
      </c>
      <c r="AB67" s="59">
        <v>46022</v>
      </c>
    </row>
    <row r="68" spans="1:29" x14ac:dyDescent="0.2">
      <c r="A68" s="58" t="s">
        <v>121</v>
      </c>
      <c r="B68" s="58" t="s">
        <v>372</v>
      </c>
      <c r="C68" s="58" t="s">
        <v>121</v>
      </c>
      <c r="D68" s="58" t="s">
        <v>121</v>
      </c>
      <c r="E68" s="58" t="s">
        <v>24</v>
      </c>
      <c r="F68" s="59">
        <v>44075</v>
      </c>
      <c r="G68" s="58">
        <v>2020</v>
      </c>
      <c r="H68" s="58">
        <v>15</v>
      </c>
      <c r="I68" s="58">
        <v>1</v>
      </c>
      <c r="J68" s="58">
        <f t="shared" si="2"/>
        <v>15</v>
      </c>
      <c r="K68" s="58">
        <v>3050.1333333333332</v>
      </c>
      <c r="L68" s="58">
        <v>45.752000000000002</v>
      </c>
      <c r="M68" s="58">
        <v>0.36321333333333339</v>
      </c>
      <c r="N68" s="58">
        <v>16.617736426666671</v>
      </c>
      <c r="O68" s="58" t="s">
        <v>122</v>
      </c>
      <c r="P68" s="58">
        <v>69.849999999999994</v>
      </c>
      <c r="Q68" s="58">
        <v>3.1957772000000002</v>
      </c>
      <c r="R68" s="58">
        <v>1.160748889402667</v>
      </c>
      <c r="S68" s="58">
        <v>2040</v>
      </c>
      <c r="T68" s="58">
        <v>69.849999999999994</v>
      </c>
      <c r="U68" s="58">
        <v>3.1957772000000002</v>
      </c>
      <c r="V68" s="58">
        <v>3.1957772000000002</v>
      </c>
      <c r="W68" s="58">
        <v>2.0350283105973332</v>
      </c>
      <c r="X68" s="59">
        <v>51379</v>
      </c>
      <c r="Y68" s="58">
        <v>2040</v>
      </c>
    </row>
    <row r="69" spans="1:29" x14ac:dyDescent="0.2">
      <c r="A69" s="58" t="s">
        <v>260</v>
      </c>
      <c r="B69" s="58" t="s">
        <v>355</v>
      </c>
      <c r="C69" s="58" t="s">
        <v>84</v>
      </c>
      <c r="D69" s="58" t="s">
        <v>84</v>
      </c>
      <c r="E69" s="58" t="s">
        <v>24</v>
      </c>
      <c r="F69" s="59">
        <v>41941</v>
      </c>
      <c r="G69" s="58">
        <v>2014</v>
      </c>
      <c r="H69" s="58">
        <v>8</v>
      </c>
      <c r="I69" s="58">
        <v>1</v>
      </c>
      <c r="J69" s="58">
        <f t="shared" si="2"/>
        <v>8</v>
      </c>
      <c r="K69" s="58">
        <v>2328.7501249999996</v>
      </c>
      <c r="L69" s="58">
        <v>18.630000999999996</v>
      </c>
      <c r="M69" s="58">
        <v>0.22524288438257847</v>
      </c>
      <c r="N69" s="58">
        <v>4.1962751612903206</v>
      </c>
      <c r="O69" s="58" t="s">
        <v>25</v>
      </c>
      <c r="P69" s="58">
        <v>88.1</v>
      </c>
      <c r="Q69" s="58">
        <v>1.6413030880999995</v>
      </c>
      <c r="R69" s="58">
        <v>0.36969184170967723</v>
      </c>
      <c r="S69" s="58">
        <v>2024</v>
      </c>
      <c r="T69" s="58">
        <v>88.1</v>
      </c>
      <c r="U69" s="58">
        <v>1.6413030880999995</v>
      </c>
      <c r="V69" s="58">
        <v>1.6413030880999995</v>
      </c>
      <c r="W69" s="58">
        <v>1.2716112463903226</v>
      </c>
      <c r="X69" s="59">
        <v>47419</v>
      </c>
      <c r="Y69" s="58">
        <v>2029</v>
      </c>
    </row>
    <row r="70" spans="1:29" x14ac:dyDescent="0.2">
      <c r="A70" s="58" t="s">
        <v>400</v>
      </c>
      <c r="B70" s="58" t="s">
        <v>128</v>
      </c>
      <c r="C70" s="58" t="s">
        <v>128</v>
      </c>
      <c r="D70" s="58" t="s">
        <v>128</v>
      </c>
      <c r="E70" s="58" t="s">
        <v>73</v>
      </c>
      <c r="F70" s="59">
        <v>44470</v>
      </c>
      <c r="G70" s="58">
        <v>2021</v>
      </c>
      <c r="H70" s="58">
        <v>14.66</v>
      </c>
      <c r="I70" s="58">
        <v>1</v>
      </c>
      <c r="J70" s="58">
        <f t="shared" si="2"/>
        <v>14.66</v>
      </c>
      <c r="K70" s="58">
        <v>1512.9604365620737</v>
      </c>
      <c r="L70" s="58">
        <v>22.18</v>
      </c>
      <c r="M70" s="58">
        <v>0.13651459594479287</v>
      </c>
      <c r="N70" s="58">
        <v>3.0278937380555058</v>
      </c>
      <c r="O70" s="58" t="s">
        <v>122</v>
      </c>
      <c r="P70" s="58">
        <v>59.9</v>
      </c>
      <c r="Q70" s="58">
        <v>1.3285819999999999</v>
      </c>
      <c r="R70" s="58">
        <v>0.1813708349095248</v>
      </c>
      <c r="S70" s="58">
        <v>2041</v>
      </c>
      <c r="T70" s="58">
        <v>59.9</v>
      </c>
      <c r="U70" s="58">
        <v>1.3285819999999999</v>
      </c>
      <c r="V70" s="58">
        <v>1.3285819999999999</v>
      </c>
      <c r="W70" s="58">
        <v>1.147211165090475</v>
      </c>
      <c r="X70" s="59">
        <v>51774</v>
      </c>
      <c r="Y70" s="58">
        <v>2041</v>
      </c>
    </row>
    <row r="71" spans="1:29" x14ac:dyDescent="0.2">
      <c r="A71" s="58" t="s">
        <v>278</v>
      </c>
      <c r="B71" s="58" t="s">
        <v>103</v>
      </c>
      <c r="C71" s="58" t="s">
        <v>103</v>
      </c>
      <c r="D71" s="58" t="s">
        <v>103</v>
      </c>
      <c r="E71" s="58" t="s">
        <v>24</v>
      </c>
      <c r="F71" s="59">
        <v>42997</v>
      </c>
      <c r="G71" s="58">
        <v>2017</v>
      </c>
      <c r="H71" s="58">
        <v>12.5</v>
      </c>
      <c r="I71" s="58">
        <v>1</v>
      </c>
      <c r="J71" s="58">
        <f t="shared" si="2"/>
        <v>12.5</v>
      </c>
      <c r="K71" s="58">
        <v>2264.0000800000003</v>
      </c>
      <c r="L71" s="58">
        <v>28.300001000000005</v>
      </c>
      <c r="M71" s="58">
        <v>0.33945079601469513</v>
      </c>
      <c r="N71" s="58">
        <v>9.6064578666666698</v>
      </c>
      <c r="O71" s="58" t="s">
        <v>25</v>
      </c>
      <c r="P71" s="58">
        <v>85.8</v>
      </c>
      <c r="Q71" s="58">
        <v>2.4281400858</v>
      </c>
      <c r="R71" s="58">
        <v>0.82423408496000028</v>
      </c>
      <c r="S71" s="58">
        <v>2027</v>
      </c>
      <c r="T71" s="58">
        <v>85.8</v>
      </c>
      <c r="U71" s="58">
        <v>2.4281400858</v>
      </c>
      <c r="V71" s="58">
        <v>2.4281400858000008</v>
      </c>
      <c r="W71" s="58">
        <v>1.6039060008400001</v>
      </c>
      <c r="X71" s="59">
        <v>48475</v>
      </c>
      <c r="Y71" s="58">
        <v>2032</v>
      </c>
    </row>
    <row r="72" spans="1:29" x14ac:dyDescent="0.2">
      <c r="A72" s="58" t="s">
        <v>233</v>
      </c>
      <c r="B72" s="58" t="s">
        <v>49</v>
      </c>
      <c r="C72" s="58" t="s">
        <v>49</v>
      </c>
      <c r="D72" s="58" t="s">
        <v>49</v>
      </c>
      <c r="E72" s="58" t="s">
        <v>24</v>
      </c>
      <c r="F72" s="59">
        <v>40037</v>
      </c>
      <c r="G72" s="58">
        <v>2009</v>
      </c>
      <c r="H72" s="58">
        <v>12</v>
      </c>
      <c r="I72" s="58">
        <v>1</v>
      </c>
      <c r="J72" s="58">
        <f t="shared" si="2"/>
        <v>12</v>
      </c>
      <c r="K72" s="58">
        <v>1551.6666666666667</v>
      </c>
      <c r="L72" s="58">
        <v>18.62</v>
      </c>
      <c r="M72" s="58">
        <v>0.39823742593811734</v>
      </c>
      <c r="N72" s="58">
        <v>7.4151808709677454</v>
      </c>
      <c r="O72" s="58" t="s">
        <v>25</v>
      </c>
      <c r="P72" s="58">
        <v>96.2</v>
      </c>
      <c r="Q72" s="58">
        <v>1.7912440000000001</v>
      </c>
      <c r="R72" s="58">
        <v>0.71334039978709707</v>
      </c>
      <c r="S72" s="58">
        <v>2019</v>
      </c>
      <c r="T72" s="58">
        <v>96.2</v>
      </c>
      <c r="U72" s="58">
        <v>1.7912440000000001</v>
      </c>
      <c r="V72" s="58">
        <v>1.7912440000000001</v>
      </c>
      <c r="W72" s="58">
        <v>1.077903600212903</v>
      </c>
      <c r="X72" s="59">
        <v>45515</v>
      </c>
      <c r="Y72" s="58">
        <v>2024</v>
      </c>
      <c r="Z72" s="58" t="s">
        <v>164</v>
      </c>
      <c r="AB72" s="59">
        <v>46388</v>
      </c>
      <c r="AC72" s="58">
        <v>2036</v>
      </c>
    </row>
    <row r="73" spans="1:29" x14ac:dyDescent="0.2">
      <c r="A73" s="58" t="s">
        <v>269</v>
      </c>
      <c r="B73" s="58" t="s">
        <v>94</v>
      </c>
      <c r="C73" s="58" t="s">
        <v>94</v>
      </c>
      <c r="D73" s="58" t="s">
        <v>94</v>
      </c>
      <c r="E73" s="58" t="s">
        <v>24</v>
      </c>
      <c r="F73" s="59">
        <v>42698</v>
      </c>
      <c r="G73" s="58">
        <v>2016</v>
      </c>
      <c r="H73" s="58">
        <v>12</v>
      </c>
      <c r="I73" s="58">
        <v>1</v>
      </c>
      <c r="J73" s="58">
        <f t="shared" si="2"/>
        <v>12</v>
      </c>
      <c r="K73" s="58">
        <v>2194.8750000000005</v>
      </c>
      <c r="L73" s="58">
        <v>26.338500000000007</v>
      </c>
      <c r="M73" s="58">
        <v>0.13749607039125242</v>
      </c>
      <c r="N73" s="58">
        <v>3.6214402500000027</v>
      </c>
      <c r="O73" s="58" t="s">
        <v>25</v>
      </c>
      <c r="P73" s="58">
        <v>87.3</v>
      </c>
      <c r="Q73" s="58">
        <v>2.2993510500000007</v>
      </c>
      <c r="R73" s="58">
        <v>0.31615173382500023</v>
      </c>
      <c r="S73" s="58">
        <v>2026</v>
      </c>
      <c r="T73" s="58">
        <v>87.3</v>
      </c>
      <c r="U73" s="58">
        <v>2.2993510500000007</v>
      </c>
      <c r="V73" s="58">
        <v>2.2993510500000003</v>
      </c>
      <c r="W73" s="58">
        <v>1.9831993161750003</v>
      </c>
      <c r="X73" s="59">
        <v>48175</v>
      </c>
      <c r="Y73" s="58">
        <v>2031</v>
      </c>
    </row>
    <row r="74" spans="1:29" x14ac:dyDescent="0.2">
      <c r="A74" s="58" t="s">
        <v>270</v>
      </c>
      <c r="B74" s="58" t="s">
        <v>97</v>
      </c>
      <c r="C74" s="58" t="s">
        <v>97</v>
      </c>
      <c r="D74" s="58" t="s">
        <v>97</v>
      </c>
      <c r="E74" s="58" t="s">
        <v>24</v>
      </c>
      <c r="F74" s="59">
        <v>42879</v>
      </c>
      <c r="G74" s="58">
        <v>2017</v>
      </c>
      <c r="H74" s="58">
        <v>4</v>
      </c>
      <c r="I74" s="58">
        <v>1</v>
      </c>
      <c r="J74" s="58">
        <f t="shared" si="2"/>
        <v>4</v>
      </c>
      <c r="K74" s="58">
        <v>2194.875</v>
      </c>
      <c r="L74" s="58">
        <v>8.7795000000000005</v>
      </c>
      <c r="M74" s="58">
        <v>0.5465707899083091</v>
      </c>
      <c r="N74" s="58">
        <v>4.7986182499999996</v>
      </c>
      <c r="O74" s="58" t="s">
        <v>25</v>
      </c>
      <c r="P74" s="58">
        <v>87.3</v>
      </c>
      <c r="Q74" s="58">
        <v>0.76645035000000006</v>
      </c>
      <c r="R74" s="58">
        <v>0.41891937322499995</v>
      </c>
      <c r="S74" s="58">
        <v>2027</v>
      </c>
      <c r="T74" s="58">
        <v>87.3</v>
      </c>
      <c r="U74" s="58">
        <v>0.76645035000000006</v>
      </c>
      <c r="V74" s="58">
        <v>0.76645035000000006</v>
      </c>
      <c r="W74" s="58">
        <v>0.34753097677500006</v>
      </c>
      <c r="X74" s="59">
        <v>48357</v>
      </c>
      <c r="Y74" s="58">
        <v>2032</v>
      </c>
    </row>
    <row r="75" spans="1:29" x14ac:dyDescent="0.2">
      <c r="A75" s="58" t="s">
        <v>220</v>
      </c>
      <c r="B75" s="58" t="s">
        <v>325</v>
      </c>
      <c r="C75" s="58" t="s">
        <v>33</v>
      </c>
      <c r="D75" s="58" t="s">
        <v>33</v>
      </c>
      <c r="E75" s="58" t="s">
        <v>24</v>
      </c>
      <c r="F75" s="59">
        <v>38747</v>
      </c>
      <c r="G75" s="58">
        <v>2006</v>
      </c>
      <c r="H75" s="58">
        <v>8</v>
      </c>
      <c r="I75" s="58">
        <v>1</v>
      </c>
      <c r="J75" s="58">
        <f t="shared" si="2"/>
        <v>8</v>
      </c>
      <c r="K75" s="58">
        <v>2317.6248749999995</v>
      </c>
      <c r="L75" s="58">
        <v>18.540998999999996</v>
      </c>
      <c r="M75" s="58">
        <v>0.88446243185257323</v>
      </c>
      <c r="N75" s="58">
        <v>16.398817064516123</v>
      </c>
      <c r="O75" s="58" t="s">
        <v>25</v>
      </c>
      <c r="P75" s="58">
        <v>85.5</v>
      </c>
      <c r="Q75" s="58">
        <v>1.5852554144999997</v>
      </c>
      <c r="R75" s="58">
        <v>1.4020988590161285</v>
      </c>
      <c r="S75" s="58">
        <v>2016</v>
      </c>
      <c r="T75" s="58">
        <v>85.5</v>
      </c>
      <c r="U75" s="58">
        <v>1.5852554144999997</v>
      </c>
      <c r="V75" s="58">
        <v>1.5852554144999997</v>
      </c>
      <c r="W75" s="58">
        <v>0.18315655548387111</v>
      </c>
      <c r="X75" s="59">
        <v>44225</v>
      </c>
      <c r="Y75" s="58">
        <v>2021</v>
      </c>
      <c r="Z75" s="58" t="s">
        <v>165</v>
      </c>
      <c r="AA75" s="58">
        <v>2026</v>
      </c>
      <c r="AB75" s="59">
        <v>46387</v>
      </c>
    </row>
    <row r="76" spans="1:29" x14ac:dyDescent="0.2">
      <c r="A76" s="58" t="s">
        <v>405</v>
      </c>
      <c r="B76" s="58" t="s">
        <v>419</v>
      </c>
      <c r="C76" s="58" t="s">
        <v>138</v>
      </c>
      <c r="D76" s="58" t="s">
        <v>138</v>
      </c>
      <c r="E76" s="58" t="s">
        <v>24</v>
      </c>
      <c r="F76" s="59">
        <v>44896</v>
      </c>
      <c r="G76" s="58">
        <v>2022</v>
      </c>
      <c r="H76" s="58">
        <v>18</v>
      </c>
      <c r="I76" s="58">
        <v>0.8</v>
      </c>
      <c r="J76" s="58">
        <f t="shared" si="2"/>
        <v>14.4</v>
      </c>
      <c r="K76" s="58">
        <v>2571</v>
      </c>
      <c r="L76" s="58">
        <v>37.022400000000005</v>
      </c>
      <c r="M76" s="58">
        <v>0.1125725090387229</v>
      </c>
      <c r="N76" s="58">
        <v>4.1677044586352157</v>
      </c>
      <c r="O76" s="58" t="s">
        <v>117</v>
      </c>
      <c r="P76" s="58">
        <v>74.8</v>
      </c>
      <c r="Q76" s="58">
        <v>2.7692755200000003</v>
      </c>
      <c r="R76" s="58">
        <v>0.31174429350591415</v>
      </c>
      <c r="S76" s="58">
        <v>2042</v>
      </c>
      <c r="T76" s="58">
        <v>74.8</v>
      </c>
      <c r="U76" s="58">
        <v>2.7692755200000003</v>
      </c>
      <c r="V76" s="58">
        <v>2.7692755200000008</v>
      </c>
      <c r="W76" s="58">
        <v>2.4575312264940861</v>
      </c>
      <c r="X76" s="59">
        <v>52200</v>
      </c>
      <c r="Y76" s="58">
        <v>2042</v>
      </c>
    </row>
    <row r="77" spans="1:29" x14ac:dyDescent="0.2">
      <c r="A77" s="58" t="s">
        <v>403</v>
      </c>
      <c r="B77" s="58" t="s">
        <v>418</v>
      </c>
      <c r="C77" s="58" t="s">
        <v>135</v>
      </c>
      <c r="D77" s="58" t="s">
        <v>135</v>
      </c>
      <c r="E77" s="58" t="s">
        <v>24</v>
      </c>
      <c r="F77" s="59">
        <v>44713</v>
      </c>
      <c r="G77" s="58">
        <v>2022</v>
      </c>
      <c r="H77" s="58">
        <v>14.4</v>
      </c>
      <c r="I77" s="58">
        <v>0.8</v>
      </c>
      <c r="J77" s="58">
        <f t="shared" si="2"/>
        <v>11.520000000000001</v>
      </c>
      <c r="K77" s="58">
        <v>2905</v>
      </c>
      <c r="L77" s="58">
        <v>33.465600000000009</v>
      </c>
      <c r="M77" s="58">
        <v>0.53360760567375887</v>
      </c>
      <c r="N77" s="58">
        <v>17.857498688435751</v>
      </c>
      <c r="O77" s="58" t="s">
        <v>117</v>
      </c>
      <c r="P77" s="58">
        <v>74.8</v>
      </c>
      <c r="Q77" s="58">
        <v>2.5032268800000006</v>
      </c>
      <c r="R77" s="58">
        <v>1.3357409018949942</v>
      </c>
      <c r="S77" s="58">
        <v>2042</v>
      </c>
      <c r="T77" s="58">
        <v>74.8</v>
      </c>
      <c r="U77" s="58">
        <v>2.5032268800000006</v>
      </c>
      <c r="V77" s="58">
        <v>2.5032268800000006</v>
      </c>
      <c r="W77" s="58">
        <v>1.1674859781050066</v>
      </c>
      <c r="X77" s="59">
        <v>52017</v>
      </c>
      <c r="Y77" s="58">
        <v>2042</v>
      </c>
    </row>
    <row r="78" spans="1:29" x14ac:dyDescent="0.2">
      <c r="A78" s="58" t="s">
        <v>402</v>
      </c>
      <c r="B78" s="58" t="s">
        <v>420</v>
      </c>
      <c r="C78" s="58" t="s">
        <v>134</v>
      </c>
      <c r="D78" s="58" t="s">
        <v>134</v>
      </c>
      <c r="E78" s="58" t="s">
        <v>24</v>
      </c>
      <c r="F78" s="59">
        <v>44713</v>
      </c>
      <c r="G78" s="58">
        <v>2022</v>
      </c>
      <c r="H78" s="58">
        <v>14.4</v>
      </c>
      <c r="I78" s="58">
        <v>0.8</v>
      </c>
      <c r="J78" s="58">
        <f t="shared" si="2"/>
        <v>11.520000000000001</v>
      </c>
      <c r="K78" s="58">
        <v>2820</v>
      </c>
      <c r="L78" s="58">
        <v>32.486400000000003</v>
      </c>
      <c r="M78" s="58">
        <v>0.53351025070771352</v>
      </c>
      <c r="N78" s="58">
        <v>17.331827408591067</v>
      </c>
      <c r="O78" s="58" t="s">
        <v>117</v>
      </c>
      <c r="P78" s="58">
        <v>74.8</v>
      </c>
      <c r="Q78" s="58">
        <v>2.4299827199999999</v>
      </c>
      <c r="R78" s="58">
        <v>1.2964206901626119</v>
      </c>
      <c r="S78" s="58">
        <v>2042</v>
      </c>
      <c r="T78" s="58">
        <v>74.8</v>
      </c>
      <c r="U78" s="58">
        <v>2.4299827199999999</v>
      </c>
      <c r="V78" s="58">
        <v>2.4299827199999999</v>
      </c>
      <c r="W78" s="58">
        <v>1.1335620298373883</v>
      </c>
      <c r="X78" s="59">
        <v>52017</v>
      </c>
      <c r="Y78" s="58">
        <v>2042</v>
      </c>
    </row>
    <row r="79" spans="1:29" x14ac:dyDescent="0.2">
      <c r="A79" s="58" t="s">
        <v>241</v>
      </c>
      <c r="B79" s="58" t="s">
        <v>187</v>
      </c>
      <c r="C79" s="58" t="s">
        <v>64</v>
      </c>
      <c r="D79" s="58" t="s">
        <v>187</v>
      </c>
      <c r="E79" s="58" t="s">
        <v>24</v>
      </c>
      <c r="F79" s="59">
        <v>40391</v>
      </c>
      <c r="G79" s="58">
        <v>2010</v>
      </c>
      <c r="H79" s="58">
        <v>11.6</v>
      </c>
      <c r="I79" s="58">
        <v>1</v>
      </c>
      <c r="J79" s="58">
        <f t="shared" si="2"/>
        <v>11.6</v>
      </c>
      <c r="K79" s="58">
        <v>2116.6666999999998</v>
      </c>
      <c r="L79" s="58">
        <v>38.100000600000001</v>
      </c>
      <c r="M79" s="58">
        <v>0.42677532474979168</v>
      </c>
      <c r="N79" s="58">
        <v>16.260140129032258</v>
      </c>
      <c r="O79" s="58" t="s">
        <v>25</v>
      </c>
      <c r="P79" s="58">
        <v>95.3</v>
      </c>
      <c r="Q79" s="58">
        <v>3.6309300571800001</v>
      </c>
      <c r="R79" s="58">
        <v>1.5495913542967741</v>
      </c>
      <c r="S79" s="58">
        <v>2020</v>
      </c>
      <c r="T79" s="58">
        <v>95.3</v>
      </c>
      <c r="U79" s="58">
        <v>3.6309300571800001</v>
      </c>
      <c r="V79" s="58">
        <v>3.6309300571800005</v>
      </c>
      <c r="W79" s="58">
        <v>2.081338702883226</v>
      </c>
      <c r="X79" s="59">
        <v>45869</v>
      </c>
      <c r="Y79" s="58">
        <v>2025</v>
      </c>
      <c r="Z79" s="58" t="s">
        <v>165</v>
      </c>
      <c r="AA79" s="58">
        <v>2026</v>
      </c>
      <c r="AB79" s="59">
        <v>46387</v>
      </c>
    </row>
    <row r="80" spans="1:29" x14ac:dyDescent="0.2">
      <c r="A80" s="58" t="s">
        <v>242</v>
      </c>
      <c r="B80" s="58" t="s">
        <v>188</v>
      </c>
      <c r="D80" s="58" t="s">
        <v>188</v>
      </c>
      <c r="E80" s="58" t="s">
        <v>24</v>
      </c>
      <c r="F80" s="59">
        <v>40391</v>
      </c>
      <c r="G80" s="58">
        <v>2010</v>
      </c>
      <c r="H80" s="58">
        <v>5.77</v>
      </c>
      <c r="I80" s="58">
        <v>1</v>
      </c>
      <c r="J80" s="58">
        <f t="shared" si="2"/>
        <v>5.77</v>
      </c>
      <c r="K80" s="58">
        <v>2116.6666999999998</v>
      </c>
      <c r="O80" s="58" t="s">
        <v>25</v>
      </c>
      <c r="X80" s="59">
        <v>45869</v>
      </c>
      <c r="Y80" s="58">
        <v>2015</v>
      </c>
      <c r="Z80" s="58" t="s">
        <v>165</v>
      </c>
      <c r="AB80" s="59">
        <v>46387</v>
      </c>
    </row>
    <row r="81" spans="1:28" x14ac:dyDescent="0.2">
      <c r="A81" s="58" t="s">
        <v>247</v>
      </c>
      <c r="B81" s="58" t="s">
        <v>70</v>
      </c>
      <c r="C81" s="58" t="s">
        <v>64</v>
      </c>
      <c r="D81" s="58" t="s">
        <v>70</v>
      </c>
      <c r="E81" s="58" t="s">
        <v>24</v>
      </c>
      <c r="F81" s="59">
        <v>40452</v>
      </c>
      <c r="G81" s="58">
        <v>2010</v>
      </c>
      <c r="H81" s="58">
        <v>11.2</v>
      </c>
      <c r="I81" s="58">
        <v>1</v>
      </c>
      <c r="J81" s="58">
        <f t="shared" si="2"/>
        <v>11.2</v>
      </c>
      <c r="K81" s="58">
        <v>2116.6667000000007</v>
      </c>
      <c r="L81" s="58">
        <v>25.400000400000007</v>
      </c>
      <c r="M81" s="58">
        <v>0.30960687650606405</v>
      </c>
      <c r="N81" s="58">
        <v>7.8640147870967798</v>
      </c>
      <c r="O81" s="58" t="s">
        <v>25</v>
      </c>
      <c r="P81" s="58">
        <v>95.3</v>
      </c>
      <c r="Q81" s="58">
        <v>2.4206200381200005</v>
      </c>
      <c r="R81" s="58">
        <v>0.74944060921032318</v>
      </c>
      <c r="S81" s="58">
        <v>2020</v>
      </c>
      <c r="T81" s="58">
        <v>95.3</v>
      </c>
      <c r="U81" s="58">
        <v>2.4206200381200005</v>
      </c>
      <c r="V81" s="58">
        <v>2.4206200381200005</v>
      </c>
      <c r="W81" s="58">
        <v>1.6711794289096775</v>
      </c>
      <c r="X81" s="59">
        <v>45930</v>
      </c>
      <c r="Y81" s="58">
        <v>2025</v>
      </c>
      <c r="Z81" s="58" t="s">
        <v>165</v>
      </c>
      <c r="AA81" s="58">
        <v>2026</v>
      </c>
      <c r="AB81" s="59">
        <v>46387</v>
      </c>
    </row>
    <row r="82" spans="1:28" x14ac:dyDescent="0.2">
      <c r="A82" s="58" t="s">
        <v>225</v>
      </c>
      <c r="B82" s="58" t="s">
        <v>327</v>
      </c>
      <c r="C82" s="58" t="s">
        <v>41</v>
      </c>
      <c r="D82" s="58" t="s">
        <v>41</v>
      </c>
      <c r="E82" s="58" t="s">
        <v>24</v>
      </c>
      <c r="F82" s="59">
        <v>39553</v>
      </c>
      <c r="G82" s="58">
        <v>2008</v>
      </c>
      <c r="H82" s="58">
        <v>11.5</v>
      </c>
      <c r="I82" s="58">
        <v>1</v>
      </c>
      <c r="J82" s="58">
        <f t="shared" si="2"/>
        <v>11.5</v>
      </c>
      <c r="K82" s="58">
        <v>1765.2173043478265</v>
      </c>
      <c r="L82" s="58">
        <v>20.299999000000003</v>
      </c>
      <c r="M82" s="58">
        <v>0.64798621418651314</v>
      </c>
      <c r="N82" s="58">
        <v>13.154119500000006</v>
      </c>
      <c r="O82" s="58" t="s">
        <v>25</v>
      </c>
      <c r="P82" s="58">
        <v>93.9</v>
      </c>
      <c r="Q82" s="58">
        <v>1.9061699061000004</v>
      </c>
      <c r="R82" s="58">
        <v>1.2351718210500005</v>
      </c>
      <c r="S82" s="58">
        <v>2018</v>
      </c>
      <c r="T82" s="58">
        <v>93.9</v>
      </c>
      <c r="U82" s="58">
        <v>1.9061699061000004</v>
      </c>
      <c r="V82" s="58">
        <v>1.9061699061000004</v>
      </c>
      <c r="W82" s="58">
        <v>0.67099808504999991</v>
      </c>
      <c r="X82" s="59">
        <v>45030</v>
      </c>
      <c r="Y82" s="58">
        <v>2023</v>
      </c>
      <c r="Z82" s="58" t="s">
        <v>165</v>
      </c>
      <c r="AA82" s="58">
        <v>2026</v>
      </c>
      <c r="AB82" s="59">
        <v>46387</v>
      </c>
    </row>
    <row r="83" spans="1:28" x14ac:dyDescent="0.2">
      <c r="A83" s="58" t="s">
        <v>401</v>
      </c>
      <c r="B83" s="58" t="s">
        <v>378</v>
      </c>
      <c r="C83" s="58" t="s">
        <v>129</v>
      </c>
      <c r="D83" s="58" t="s">
        <v>129</v>
      </c>
      <c r="E83" s="58" t="s">
        <v>73</v>
      </c>
      <c r="F83" s="59">
        <v>44501</v>
      </c>
      <c r="G83" s="58">
        <v>2021</v>
      </c>
      <c r="H83" s="58">
        <v>12.53</v>
      </c>
      <c r="I83" s="58">
        <v>1</v>
      </c>
      <c r="J83" s="58">
        <f t="shared" si="2"/>
        <v>12.53</v>
      </c>
      <c r="K83" s="58">
        <v>1413.4078212290503</v>
      </c>
      <c r="L83" s="58">
        <v>17.71</v>
      </c>
      <c r="M83" s="58">
        <v>4.8786478995596155E-2</v>
      </c>
      <c r="N83" s="58">
        <v>0.86400854301200791</v>
      </c>
      <c r="O83" s="58" t="s">
        <v>122</v>
      </c>
      <c r="P83" s="58">
        <v>58</v>
      </c>
      <c r="Q83" s="58">
        <v>1.02718</v>
      </c>
      <c r="R83" s="58">
        <v>5.0112495494696457E-2</v>
      </c>
      <c r="S83" s="58">
        <v>2041</v>
      </c>
      <c r="T83" s="58">
        <v>58</v>
      </c>
      <c r="U83" s="58">
        <v>1.02718</v>
      </c>
      <c r="V83" s="58">
        <v>1.02718</v>
      </c>
      <c r="W83" s="58">
        <v>0.97706750450530355</v>
      </c>
      <c r="X83" s="59">
        <v>51805</v>
      </c>
      <c r="Y83" s="58">
        <v>2041</v>
      </c>
    </row>
    <row r="84" spans="1:28" x14ac:dyDescent="0.2">
      <c r="A84" s="58" t="s">
        <v>252</v>
      </c>
      <c r="B84" s="58" t="s">
        <v>349</v>
      </c>
      <c r="C84" s="58" t="s">
        <v>77</v>
      </c>
      <c r="D84" s="58" t="s">
        <v>193</v>
      </c>
      <c r="E84" s="58" t="s">
        <v>24</v>
      </c>
      <c r="F84" s="59">
        <v>40763</v>
      </c>
      <c r="G84" s="58">
        <v>2011</v>
      </c>
      <c r="H84" s="58">
        <v>13</v>
      </c>
      <c r="I84" s="58">
        <v>1</v>
      </c>
      <c r="J84" s="58">
        <f t="shared" si="2"/>
        <v>13</v>
      </c>
      <c r="K84" s="58">
        <v>2282.7777772222225</v>
      </c>
      <c r="L84" s="58">
        <v>41.089999990000003</v>
      </c>
      <c r="M84" s="58">
        <v>0.39486653135321248</v>
      </c>
      <c r="N84" s="58">
        <v>16.225065769354835</v>
      </c>
      <c r="O84" s="58" t="s">
        <v>25</v>
      </c>
      <c r="P84" s="58">
        <v>92</v>
      </c>
      <c r="Q84" s="58">
        <v>3.7802799990800002</v>
      </c>
      <c r="R84" s="58">
        <v>1.4927060507806447</v>
      </c>
      <c r="S84" s="58">
        <v>2021</v>
      </c>
      <c r="T84" s="58">
        <v>92</v>
      </c>
      <c r="U84" s="58">
        <v>3.7802799990800002</v>
      </c>
      <c r="V84" s="58">
        <v>3.7802799990800002</v>
      </c>
      <c r="W84" s="58">
        <v>2.2875739482993556</v>
      </c>
      <c r="X84" s="59">
        <v>46241</v>
      </c>
      <c r="Y84" s="58">
        <v>2026</v>
      </c>
    </row>
    <row r="85" spans="1:28" x14ac:dyDescent="0.2">
      <c r="A85" s="58" t="s">
        <v>253</v>
      </c>
      <c r="B85" s="58" t="s">
        <v>350</v>
      </c>
      <c r="D85" s="58" t="s">
        <v>192</v>
      </c>
      <c r="E85" s="58" t="s">
        <v>24</v>
      </c>
      <c r="F85" s="59">
        <v>40763</v>
      </c>
      <c r="G85" s="58">
        <v>2011</v>
      </c>
      <c r="H85" s="58">
        <v>5</v>
      </c>
      <c r="I85" s="58">
        <v>1</v>
      </c>
      <c r="J85" s="58">
        <f t="shared" si="2"/>
        <v>5</v>
      </c>
      <c r="K85" s="58">
        <v>2282.7777772222225</v>
      </c>
      <c r="O85" s="58" t="s">
        <v>25</v>
      </c>
      <c r="X85" s="59">
        <v>46241</v>
      </c>
      <c r="Y85" s="58">
        <v>2026</v>
      </c>
    </row>
    <row r="86" spans="1:28" x14ac:dyDescent="0.2">
      <c r="A86" s="58" t="s">
        <v>288</v>
      </c>
      <c r="B86" s="58" t="s">
        <v>371</v>
      </c>
      <c r="C86" s="58" t="s">
        <v>118</v>
      </c>
      <c r="D86" s="58" t="s">
        <v>118</v>
      </c>
      <c r="E86" s="58" t="s">
        <v>24</v>
      </c>
      <c r="F86" s="59">
        <v>43800</v>
      </c>
      <c r="G86" s="58">
        <v>2019</v>
      </c>
      <c r="H86" s="58">
        <v>24.15</v>
      </c>
      <c r="I86" s="58">
        <v>1</v>
      </c>
      <c r="J86" s="58">
        <f t="shared" si="2"/>
        <v>24.15</v>
      </c>
      <c r="K86" s="58">
        <v>3080.7453416149069</v>
      </c>
      <c r="L86" s="58">
        <v>74.400000000000006</v>
      </c>
      <c r="M86" s="58">
        <v>0.10740528095733611</v>
      </c>
      <c r="N86" s="58">
        <v>7.9909529032258071</v>
      </c>
      <c r="O86" s="58" t="s">
        <v>109</v>
      </c>
      <c r="P86" s="58">
        <v>82.52</v>
      </c>
      <c r="Q86" s="58">
        <v>6.1394880000000001</v>
      </c>
      <c r="R86" s="58">
        <v>0.65941343357419357</v>
      </c>
      <c r="S86" s="58">
        <v>2029</v>
      </c>
      <c r="T86" s="58">
        <v>53.962732919254648</v>
      </c>
      <c r="U86" s="58">
        <v>4.0148273291925465</v>
      </c>
      <c r="V86" s="58">
        <v>5.9112882237129227</v>
      </c>
      <c r="W86" s="58">
        <v>3.5836136719054297</v>
      </c>
      <c r="X86" s="59">
        <v>49278</v>
      </c>
      <c r="Y86" s="58">
        <v>2034</v>
      </c>
    </row>
    <row r="87" spans="1:28" x14ac:dyDescent="0.2">
      <c r="A87" s="58" t="s">
        <v>410</v>
      </c>
      <c r="B87" s="58" t="s">
        <v>411</v>
      </c>
      <c r="C87" s="58" t="s">
        <v>411</v>
      </c>
      <c r="D87" s="58" t="s">
        <v>411</v>
      </c>
      <c r="E87" s="58" t="s">
        <v>24</v>
      </c>
      <c r="F87" s="59">
        <v>43466</v>
      </c>
      <c r="G87" s="58">
        <v>2019</v>
      </c>
      <c r="H87" s="58">
        <v>10.9</v>
      </c>
      <c r="I87" s="58">
        <v>1</v>
      </c>
      <c r="J87" s="58">
        <f t="shared" si="2"/>
        <v>10.9</v>
      </c>
      <c r="K87" s="58">
        <v>2575.3246753246749</v>
      </c>
      <c r="L87" s="58">
        <v>59.489999999999995</v>
      </c>
      <c r="M87" s="58">
        <v>0.99630866125507667</v>
      </c>
      <c r="N87" s="58">
        <v>59.270402258064507</v>
      </c>
      <c r="O87" s="58" t="s">
        <v>109</v>
      </c>
      <c r="P87" s="58">
        <v>83.77</v>
      </c>
      <c r="Q87" s="58">
        <v>4.9834772999999997</v>
      </c>
      <c r="R87" s="58">
        <v>4.9650815971580631</v>
      </c>
      <c r="S87" s="58">
        <v>2029</v>
      </c>
      <c r="T87" s="58">
        <v>76.857824675324707</v>
      </c>
      <c r="U87" s="58">
        <v>4.572271989935067</v>
      </c>
      <c r="V87" s="58">
        <v>4.5737898880282275</v>
      </c>
      <c r="W87" s="58">
        <v>1.6877804748774899E-2</v>
      </c>
      <c r="X87" s="59">
        <v>48944</v>
      </c>
      <c r="Y87" s="58">
        <v>2033</v>
      </c>
    </row>
    <row r="88" spans="1:28" x14ac:dyDescent="0.2">
      <c r="A88" s="58" t="s">
        <v>412</v>
      </c>
      <c r="B88" s="58" t="s">
        <v>413</v>
      </c>
      <c r="C88" s="58" t="s">
        <v>413</v>
      </c>
      <c r="D88" s="58" t="s">
        <v>413</v>
      </c>
      <c r="E88" s="58" t="s">
        <v>24</v>
      </c>
      <c r="F88" s="59">
        <v>43466</v>
      </c>
      <c r="G88" s="58">
        <v>2019</v>
      </c>
      <c r="H88" s="58">
        <v>14.7</v>
      </c>
      <c r="I88" s="58">
        <v>1</v>
      </c>
      <c r="J88" s="58">
        <f t="shared" si="2"/>
        <v>14.7</v>
      </c>
      <c r="K88" s="58">
        <v>2575.3246753246749</v>
      </c>
      <c r="L88" s="58">
        <v>59.489999999999995</v>
      </c>
      <c r="M88" s="58">
        <v>0.99630866125507667</v>
      </c>
      <c r="N88" s="58">
        <v>59.270402258064507</v>
      </c>
      <c r="O88" s="58" t="s">
        <v>109</v>
      </c>
      <c r="P88" s="58">
        <v>83.77</v>
      </c>
      <c r="Q88" s="58">
        <v>4.9834772999999997</v>
      </c>
      <c r="R88" s="58">
        <v>4.9650815971580631</v>
      </c>
      <c r="S88" s="58">
        <v>2029</v>
      </c>
      <c r="T88" s="58">
        <v>76.857824675324707</v>
      </c>
      <c r="U88" s="58">
        <v>4.572271989935067</v>
      </c>
      <c r="V88" s="58">
        <v>4.5737898880282275</v>
      </c>
      <c r="W88" s="58">
        <v>1.6877804748774899E-2</v>
      </c>
      <c r="X88" s="59">
        <v>48944</v>
      </c>
      <c r="Y88" s="58">
        <v>2033</v>
      </c>
    </row>
    <row r="89" spans="1:28" x14ac:dyDescent="0.2">
      <c r="A89" s="58" t="s">
        <v>262</v>
      </c>
      <c r="B89" s="58" t="s">
        <v>356</v>
      </c>
      <c r="C89" s="58" t="s">
        <v>86</v>
      </c>
      <c r="D89" s="58" t="s">
        <v>87</v>
      </c>
      <c r="E89" s="58" t="s">
        <v>24</v>
      </c>
      <c r="F89" s="59">
        <v>42053</v>
      </c>
      <c r="G89" s="58">
        <v>2015</v>
      </c>
      <c r="H89" s="58">
        <v>11.4</v>
      </c>
      <c r="I89" s="58">
        <v>1</v>
      </c>
      <c r="J89" s="58">
        <f t="shared" si="2"/>
        <v>11.4</v>
      </c>
      <c r="K89" s="58">
        <v>2283.3333333333335</v>
      </c>
      <c r="L89" s="58">
        <v>26.030000000000005</v>
      </c>
      <c r="M89" s="58">
        <v>0.8128408210306789</v>
      </c>
      <c r="N89" s="58">
        <v>21.158246571428574</v>
      </c>
      <c r="O89" s="58" t="s">
        <v>25</v>
      </c>
      <c r="P89" s="58">
        <v>87.9</v>
      </c>
      <c r="Q89" s="58">
        <v>2.2880370000000005</v>
      </c>
      <c r="R89" s="58">
        <v>1.8598098736285718</v>
      </c>
      <c r="S89" s="58">
        <v>2025</v>
      </c>
      <c r="T89" s="58">
        <v>87.9</v>
      </c>
      <c r="U89" s="58">
        <v>2.2880370000000005</v>
      </c>
      <c r="V89" s="58">
        <v>2.2880370000000005</v>
      </c>
      <c r="W89" s="58">
        <v>0.42822712637142879</v>
      </c>
      <c r="X89" s="59">
        <v>47531</v>
      </c>
      <c r="Y89" s="58">
        <v>2030</v>
      </c>
    </row>
    <row r="90" spans="1:28" x14ac:dyDescent="0.2">
      <c r="A90" s="58" t="s">
        <v>263</v>
      </c>
      <c r="B90" s="58" t="s">
        <v>357</v>
      </c>
      <c r="C90" s="58" t="s">
        <v>88</v>
      </c>
      <c r="D90" s="58" t="s">
        <v>89</v>
      </c>
      <c r="E90" s="58" t="s">
        <v>24</v>
      </c>
      <c r="F90" s="59">
        <v>42076</v>
      </c>
      <c r="G90" s="58">
        <v>2015</v>
      </c>
      <c r="H90" s="58">
        <v>11.4</v>
      </c>
      <c r="I90" s="58">
        <v>1</v>
      </c>
      <c r="J90" s="58">
        <f t="shared" si="2"/>
        <v>11.4</v>
      </c>
      <c r="K90" s="58">
        <v>2283.3333333333335</v>
      </c>
      <c r="L90" s="58">
        <v>26.030000000000005</v>
      </c>
      <c r="M90" s="58">
        <v>0.7355626516550382</v>
      </c>
      <c r="N90" s="58">
        <v>19.146695822580647</v>
      </c>
      <c r="O90" s="58" t="s">
        <v>25</v>
      </c>
      <c r="P90" s="58">
        <v>87.9</v>
      </c>
      <c r="Q90" s="58">
        <v>2.2880370000000005</v>
      </c>
      <c r="R90" s="58">
        <v>1.6829945628048391</v>
      </c>
      <c r="S90" s="58">
        <v>2025</v>
      </c>
      <c r="T90" s="58">
        <v>87.9</v>
      </c>
      <c r="U90" s="58">
        <v>2.2880370000000005</v>
      </c>
      <c r="V90" s="58">
        <v>2.2880370000000005</v>
      </c>
      <c r="W90" s="58">
        <v>0.6050424371951616</v>
      </c>
      <c r="X90" s="59">
        <v>47554</v>
      </c>
      <c r="Y90" s="58">
        <v>2030</v>
      </c>
    </row>
    <row r="91" spans="1:28" x14ac:dyDescent="0.2">
      <c r="A91" s="58" t="s">
        <v>256</v>
      </c>
      <c r="B91" s="58" t="s">
        <v>352</v>
      </c>
      <c r="C91" s="58" t="s">
        <v>81</v>
      </c>
      <c r="D91" s="58" t="s">
        <v>194</v>
      </c>
      <c r="E91" s="58" t="s">
        <v>24</v>
      </c>
      <c r="F91" s="59">
        <v>41610</v>
      </c>
      <c r="G91" s="58">
        <v>2013</v>
      </c>
      <c r="H91" s="58">
        <v>4.2</v>
      </c>
      <c r="I91" s="58">
        <v>1</v>
      </c>
      <c r="J91" s="58">
        <f t="shared" si="2"/>
        <v>4.2</v>
      </c>
      <c r="K91" s="58">
        <v>1982.8124374999998</v>
      </c>
      <c r="L91" s="58">
        <v>63.449997999999994</v>
      </c>
      <c r="M91" s="58">
        <v>0.10944305029892429</v>
      </c>
      <c r="N91" s="58">
        <v>6.9441613225806451</v>
      </c>
      <c r="O91" s="58" t="s">
        <v>25</v>
      </c>
      <c r="P91" s="58">
        <v>88.5</v>
      </c>
      <c r="Q91" s="58">
        <v>5.615324822999999</v>
      </c>
      <c r="R91" s="58">
        <v>0.61455827704838717</v>
      </c>
      <c r="S91" s="58">
        <v>2023</v>
      </c>
      <c r="T91" s="58">
        <v>88.5</v>
      </c>
      <c r="U91" s="58">
        <v>5.615324822999999</v>
      </c>
      <c r="V91" s="58">
        <v>5.615324822999999</v>
      </c>
      <c r="W91" s="58">
        <v>5.0007665459516124</v>
      </c>
      <c r="X91" s="59">
        <v>47088</v>
      </c>
      <c r="Y91" s="58">
        <v>2028</v>
      </c>
    </row>
    <row r="92" spans="1:28" s="60" customFormat="1" x14ac:dyDescent="0.2">
      <c r="C92" s="60" t="s">
        <v>119</v>
      </c>
      <c r="D92" s="60" t="s">
        <v>119</v>
      </c>
      <c r="E92" s="60" t="s">
        <v>24</v>
      </c>
      <c r="F92" s="65">
        <v>43936</v>
      </c>
      <c r="G92" s="60">
        <v>2020</v>
      </c>
      <c r="H92" s="60">
        <v>-18</v>
      </c>
      <c r="I92" s="60">
        <v>1</v>
      </c>
      <c r="J92" s="58">
        <f t="shared" si="2"/>
        <v>-18</v>
      </c>
      <c r="K92" s="60">
        <v>3033.3333333333335</v>
      </c>
      <c r="L92" s="60">
        <v>-54.6</v>
      </c>
      <c r="M92" s="60">
        <v>0.69780219780219777</v>
      </c>
      <c r="N92" s="60">
        <v>-0.89032258064516745</v>
      </c>
      <c r="O92" s="60" t="s">
        <v>120</v>
      </c>
      <c r="P92" s="60">
        <v>0</v>
      </c>
      <c r="Q92" s="60" t="s">
        <v>120</v>
      </c>
      <c r="R92" s="60" t="s">
        <v>120</v>
      </c>
      <c r="S92" s="60">
        <v>2020</v>
      </c>
      <c r="T92" s="60" t="s">
        <v>120</v>
      </c>
      <c r="U92" s="60" t="s">
        <v>120</v>
      </c>
      <c r="V92" s="60" t="s">
        <v>120</v>
      </c>
      <c r="W92" s="60" t="s">
        <v>120</v>
      </c>
      <c r="X92" s="65">
        <v>43936</v>
      </c>
      <c r="Y92" s="60">
        <v>2020</v>
      </c>
    </row>
    <row r="93" spans="1:28" x14ac:dyDescent="0.2">
      <c r="A93" s="58" t="s">
        <v>239</v>
      </c>
      <c r="B93" s="58" t="s">
        <v>334</v>
      </c>
      <c r="C93" s="58" t="s">
        <v>59</v>
      </c>
      <c r="D93" s="58" t="s">
        <v>60</v>
      </c>
      <c r="E93" s="58" t="s">
        <v>24</v>
      </c>
      <c r="F93" s="59">
        <v>40211</v>
      </c>
      <c r="G93" s="58">
        <v>2010</v>
      </c>
      <c r="H93" s="58">
        <v>11.5</v>
      </c>
      <c r="I93" s="58">
        <v>1</v>
      </c>
      <c r="J93" s="58">
        <f t="shared" si="2"/>
        <v>11.5</v>
      </c>
      <c r="K93" s="58">
        <v>2746.0870144927535</v>
      </c>
      <c r="L93" s="58">
        <v>31.580000666666667</v>
      </c>
      <c r="M93" s="58">
        <v>0.87530396234166363</v>
      </c>
      <c r="N93" s="58">
        <v>27.642099714285713</v>
      </c>
      <c r="O93" s="58" t="s">
        <v>25</v>
      </c>
      <c r="P93" s="58">
        <v>92.3</v>
      </c>
      <c r="Q93" s="58">
        <v>2.914834061533333</v>
      </c>
      <c r="R93" s="58">
        <v>2.5513658036285709</v>
      </c>
      <c r="S93" s="58">
        <v>2020</v>
      </c>
      <c r="T93" s="58">
        <v>71.275213869565249</v>
      </c>
      <c r="U93" s="58">
        <v>2.2508713015176798</v>
      </c>
      <c r="V93" s="58">
        <v>2.3336648268443247</v>
      </c>
      <c r="W93" s="58">
        <v>0.28067473257811715</v>
      </c>
      <c r="X93" s="59">
        <v>45689</v>
      </c>
      <c r="Y93" s="58">
        <v>2025</v>
      </c>
      <c r="Z93" s="58" t="s">
        <v>165</v>
      </c>
      <c r="AA93" s="58" t="s">
        <v>178</v>
      </c>
      <c r="AB93" s="59">
        <v>46388</v>
      </c>
    </row>
    <row r="94" spans="1:28" x14ac:dyDescent="0.2">
      <c r="A94" s="58" t="s">
        <v>230</v>
      </c>
      <c r="B94" s="58" t="s">
        <v>331</v>
      </c>
      <c r="C94" s="58" t="s">
        <v>47</v>
      </c>
      <c r="D94" s="58" t="s">
        <v>48</v>
      </c>
      <c r="E94" s="58" t="s">
        <v>24</v>
      </c>
      <c r="F94" s="59">
        <v>39995</v>
      </c>
      <c r="G94" s="58">
        <v>2009</v>
      </c>
      <c r="H94" s="58">
        <v>9.1999999999999993</v>
      </c>
      <c r="I94" s="58">
        <v>1</v>
      </c>
      <c r="J94" s="58">
        <f t="shared" si="2"/>
        <v>9.1999999999999993</v>
      </c>
      <c r="K94" s="58">
        <v>2746.0870144927535</v>
      </c>
      <c r="L94" s="58">
        <v>25.264000533333331</v>
      </c>
      <c r="M94" s="58">
        <v>0.48611264066035276</v>
      </c>
      <c r="N94" s="58">
        <v>12.281150012903225</v>
      </c>
      <c r="O94" s="58" t="s">
        <v>25</v>
      </c>
      <c r="P94" s="58">
        <v>92.3</v>
      </c>
      <c r="Q94" s="58">
        <v>2.3318672492266663</v>
      </c>
      <c r="R94" s="58">
        <v>1.1335501461909678</v>
      </c>
      <c r="S94" s="58">
        <v>2019</v>
      </c>
      <c r="T94" s="58">
        <v>71.275213869565249</v>
      </c>
      <c r="U94" s="58">
        <v>1.8006970412141436</v>
      </c>
      <c r="V94" s="58">
        <v>2.07365869676959</v>
      </c>
      <c r="W94" s="58">
        <v>0.92535544748025222</v>
      </c>
      <c r="X94" s="59">
        <v>45473</v>
      </c>
      <c r="Y94" s="58">
        <v>2024</v>
      </c>
      <c r="Z94" s="58" t="s">
        <v>165</v>
      </c>
      <c r="AA94" s="58" t="s">
        <v>178</v>
      </c>
      <c r="AB94" s="59">
        <v>46388</v>
      </c>
    </row>
    <row r="95" spans="1:28" x14ac:dyDescent="0.2">
      <c r="A95" s="58" t="s">
        <v>231</v>
      </c>
      <c r="B95" s="58" t="s">
        <v>332</v>
      </c>
      <c r="C95" s="58" t="s">
        <v>47</v>
      </c>
      <c r="D95" s="58" t="s">
        <v>50</v>
      </c>
      <c r="E95" s="58" t="s">
        <v>24</v>
      </c>
      <c r="F95" s="59">
        <v>40050</v>
      </c>
      <c r="G95" s="58">
        <v>2009</v>
      </c>
      <c r="H95" s="58">
        <v>9.1999999999999993</v>
      </c>
      <c r="I95" s="58">
        <v>1</v>
      </c>
      <c r="J95" s="58">
        <f t="shared" si="2"/>
        <v>9.1999999999999993</v>
      </c>
      <c r="K95" s="58">
        <v>2746.0870144927535</v>
      </c>
      <c r="L95" s="58">
        <v>25.264000533333331</v>
      </c>
      <c r="M95" s="58">
        <v>0.38257662746949184</v>
      </c>
      <c r="N95" s="58">
        <v>9.665416120430109</v>
      </c>
      <c r="O95" s="58" t="s">
        <v>25</v>
      </c>
      <c r="P95" s="58">
        <v>92.3</v>
      </c>
      <c r="Q95" s="58">
        <v>2.3318672492266663</v>
      </c>
      <c r="R95" s="58">
        <v>0.892117907915699</v>
      </c>
      <c r="S95" s="58">
        <v>2019</v>
      </c>
      <c r="T95" s="58">
        <v>71.275213869565249</v>
      </c>
      <c r="U95" s="58">
        <v>1.8006970412141436</v>
      </c>
      <c r="V95" s="58">
        <v>2.1286539424329667</v>
      </c>
      <c r="W95" s="58">
        <v>1.111792440092144</v>
      </c>
      <c r="X95" s="59">
        <v>45528</v>
      </c>
      <c r="Y95" s="58">
        <v>2024</v>
      </c>
      <c r="Z95" s="58" t="s">
        <v>165</v>
      </c>
      <c r="AA95" s="58" t="s">
        <v>178</v>
      </c>
      <c r="AB95" s="59">
        <v>46388</v>
      </c>
    </row>
    <row r="96" spans="1:28" x14ac:dyDescent="0.2">
      <c r="A96" s="58" t="s">
        <v>232</v>
      </c>
      <c r="B96" s="58" t="s">
        <v>333</v>
      </c>
      <c r="C96" s="58" t="s">
        <v>47</v>
      </c>
      <c r="D96" s="58" t="s">
        <v>51</v>
      </c>
      <c r="E96" s="58" t="s">
        <v>24</v>
      </c>
      <c r="F96" s="59">
        <v>40074</v>
      </c>
      <c r="G96" s="58">
        <v>2009</v>
      </c>
      <c r="H96" s="58">
        <v>4.5999999999999996</v>
      </c>
      <c r="I96" s="58">
        <v>1</v>
      </c>
      <c r="J96" s="58">
        <f t="shared" si="2"/>
        <v>4.5999999999999996</v>
      </c>
      <c r="K96" s="58">
        <v>2746.0870144927535</v>
      </c>
      <c r="L96" s="58">
        <v>12.632000266666665</v>
      </c>
      <c r="M96" s="58">
        <v>0.33035447898766152</v>
      </c>
      <c r="N96" s="58">
        <v>4.1730378666666672</v>
      </c>
      <c r="O96" s="58" t="s">
        <v>25</v>
      </c>
      <c r="P96" s="58">
        <v>92.3</v>
      </c>
      <c r="Q96" s="58">
        <v>1.1659336246133332</v>
      </c>
      <c r="R96" s="58">
        <v>0.38517139509333337</v>
      </c>
      <c r="S96" s="58">
        <v>2019</v>
      </c>
      <c r="T96" s="58">
        <v>71.275213869565249</v>
      </c>
      <c r="U96" s="58">
        <v>0.90034852060707182</v>
      </c>
      <c r="V96" s="58">
        <v>1.0781963959524608</v>
      </c>
      <c r="W96" s="58">
        <v>0.6029143541746107</v>
      </c>
      <c r="X96" s="59">
        <v>45552</v>
      </c>
      <c r="Y96" s="58">
        <v>2024</v>
      </c>
      <c r="Z96" s="58" t="s">
        <v>165</v>
      </c>
      <c r="AA96" s="58" t="s">
        <v>178</v>
      </c>
      <c r="AB96" s="59">
        <v>46388</v>
      </c>
    </row>
    <row r="97" spans="1:30" x14ac:dyDescent="0.2">
      <c r="A97" s="58" t="s">
        <v>268</v>
      </c>
      <c r="B97" s="58" t="s">
        <v>93</v>
      </c>
      <c r="C97" s="58" t="s">
        <v>93</v>
      </c>
      <c r="D97" s="58" t="s">
        <v>93</v>
      </c>
      <c r="E97" s="58" t="s">
        <v>24</v>
      </c>
      <c r="F97" s="59">
        <v>42583</v>
      </c>
      <c r="G97" s="58">
        <v>2016</v>
      </c>
      <c r="H97" s="58">
        <v>13.8</v>
      </c>
      <c r="I97" s="58">
        <v>1</v>
      </c>
      <c r="J97" s="58">
        <f t="shared" si="2"/>
        <v>13.8</v>
      </c>
      <c r="K97" s="58">
        <v>2165.2173913043475</v>
      </c>
      <c r="L97" s="58">
        <v>29.879999999999995</v>
      </c>
      <c r="M97" s="58">
        <v>0.41644250982424319</v>
      </c>
      <c r="N97" s="58">
        <v>12.443302193548385</v>
      </c>
      <c r="O97" s="58" t="s">
        <v>25</v>
      </c>
      <c r="P97" s="58">
        <v>87.7</v>
      </c>
      <c r="Q97" s="58">
        <v>2.6204759999999996</v>
      </c>
      <c r="R97" s="58">
        <v>1.0912776023741935</v>
      </c>
      <c r="S97" s="58">
        <v>2026</v>
      </c>
      <c r="T97" s="58">
        <v>87.7</v>
      </c>
      <c r="U97" s="58">
        <v>2.6204759999999996</v>
      </c>
      <c r="V97" s="58">
        <v>2.6204759999999996</v>
      </c>
      <c r="W97" s="58">
        <v>1.5291983976258063</v>
      </c>
      <c r="X97" s="59">
        <v>48060</v>
      </c>
      <c r="Y97" s="58">
        <v>2031</v>
      </c>
    </row>
    <row r="98" spans="1:30" x14ac:dyDescent="0.2">
      <c r="A98" s="58" t="s">
        <v>276</v>
      </c>
      <c r="B98" s="58" t="s">
        <v>363</v>
      </c>
      <c r="C98" s="58" t="s">
        <v>101</v>
      </c>
      <c r="D98" s="58" t="s">
        <v>199</v>
      </c>
      <c r="E98" s="58" t="s">
        <v>24</v>
      </c>
      <c r="F98" s="59">
        <v>42965</v>
      </c>
      <c r="G98" s="58">
        <v>2017</v>
      </c>
      <c r="H98" s="58">
        <v>11.4</v>
      </c>
      <c r="I98" s="58">
        <v>1</v>
      </c>
      <c r="J98" s="58">
        <f t="shared" ref="J98:J109" si="3">H98*I98</f>
        <v>11.4</v>
      </c>
      <c r="K98" s="58">
        <v>2433.3333333333335</v>
      </c>
      <c r="L98" s="58">
        <v>36.5</v>
      </c>
      <c r="M98" s="58">
        <v>0.39917982942996033</v>
      </c>
      <c r="N98" s="58">
        <v>14.570063774193551</v>
      </c>
      <c r="O98" s="58" t="s">
        <v>25</v>
      </c>
      <c r="P98" s="58">
        <v>85.8</v>
      </c>
      <c r="Q98" s="58">
        <v>3.1316999999999999</v>
      </c>
      <c r="R98" s="58">
        <v>1.2501114718258066</v>
      </c>
      <c r="S98" s="58">
        <v>2027</v>
      </c>
      <c r="T98" s="58">
        <v>84.316666666666677</v>
      </c>
      <c r="U98" s="58">
        <v>3.0775583333333341</v>
      </c>
      <c r="V98" s="58">
        <v>3.1100877387349466</v>
      </c>
      <c r="W98" s="58">
        <v>1.8490591227725808</v>
      </c>
      <c r="X98" s="59">
        <v>48443</v>
      </c>
      <c r="Y98" s="58">
        <v>2032</v>
      </c>
    </row>
    <row r="99" spans="1:30" x14ac:dyDescent="0.2">
      <c r="A99" s="58" t="s">
        <v>277</v>
      </c>
      <c r="B99" s="58" t="s">
        <v>364</v>
      </c>
      <c r="D99" s="58" t="s">
        <v>198</v>
      </c>
      <c r="E99" s="58" t="s">
        <v>24</v>
      </c>
      <c r="F99" s="59">
        <v>42965</v>
      </c>
      <c r="G99" s="58">
        <v>2017</v>
      </c>
      <c r="H99" s="58">
        <v>5.3</v>
      </c>
      <c r="I99" s="58">
        <v>1</v>
      </c>
      <c r="J99" s="58">
        <f t="shared" si="3"/>
        <v>5.3</v>
      </c>
      <c r="K99" s="58">
        <v>2433.3333333333335</v>
      </c>
      <c r="O99" s="58" t="s">
        <v>25</v>
      </c>
      <c r="S99" s="58">
        <v>2027</v>
      </c>
      <c r="X99" s="59">
        <v>48443</v>
      </c>
      <c r="Y99" s="58">
        <v>2032</v>
      </c>
    </row>
    <row r="100" spans="1:30" x14ac:dyDescent="0.2">
      <c r="A100" s="58" t="s">
        <v>237</v>
      </c>
      <c r="B100" s="58" t="s">
        <v>338</v>
      </c>
      <c r="D100" s="58" t="s">
        <v>57</v>
      </c>
      <c r="E100" s="58" t="s">
        <v>24</v>
      </c>
      <c r="F100" s="59">
        <v>40149</v>
      </c>
      <c r="G100" s="58">
        <v>2009</v>
      </c>
      <c r="H100" s="58">
        <v>13</v>
      </c>
      <c r="I100" s="58">
        <v>1</v>
      </c>
      <c r="J100" s="58">
        <f t="shared" si="3"/>
        <v>13</v>
      </c>
      <c r="K100" s="58">
        <v>2413.3333336666665</v>
      </c>
      <c r="L100" s="58">
        <v>28.960000003999998</v>
      </c>
      <c r="M100" s="58">
        <v>0.11116218132487067</v>
      </c>
      <c r="N100" s="58">
        <v>3.219256771612903</v>
      </c>
      <c r="O100" s="58" t="s">
        <v>25</v>
      </c>
      <c r="P100" s="58">
        <v>96.5</v>
      </c>
      <c r="Q100" s="58">
        <v>2.7946400003859999</v>
      </c>
      <c r="R100" s="58">
        <v>0.31065827846064514</v>
      </c>
      <c r="S100" s="58">
        <v>2019</v>
      </c>
      <c r="T100" s="58">
        <v>95.549999976250035</v>
      </c>
      <c r="U100" s="58">
        <v>2.7671279996944009</v>
      </c>
      <c r="V100" s="58">
        <v>2.7915817063765105</v>
      </c>
      <c r="W100" s="58">
        <v>2.459528015243245</v>
      </c>
      <c r="X100" s="59">
        <v>45627</v>
      </c>
      <c r="Y100" s="58">
        <v>2024</v>
      </c>
      <c r="Z100" s="58" t="s">
        <v>165</v>
      </c>
      <c r="AA100" s="58">
        <v>2027</v>
      </c>
      <c r="AB100" s="59">
        <v>46752</v>
      </c>
      <c r="AD100" s="58" t="s">
        <v>170</v>
      </c>
    </row>
    <row r="101" spans="1:30" s="60" customFormat="1" x14ac:dyDescent="0.2">
      <c r="C101" s="60" t="s">
        <v>130</v>
      </c>
      <c r="D101" s="60" t="s">
        <v>130</v>
      </c>
      <c r="E101" s="60" t="s">
        <v>24</v>
      </c>
      <c r="F101" s="65">
        <v>44501</v>
      </c>
      <c r="G101" s="60">
        <v>2021</v>
      </c>
      <c r="H101" s="60">
        <v>-12</v>
      </c>
      <c r="I101" s="60">
        <v>1</v>
      </c>
      <c r="J101" s="58">
        <f t="shared" si="3"/>
        <v>-12</v>
      </c>
      <c r="K101" s="60">
        <v>1983.3332499999999</v>
      </c>
      <c r="L101" s="60">
        <v>-23.799999</v>
      </c>
      <c r="M101" s="60">
        <v>0.20608324115195686</v>
      </c>
      <c r="N101" s="60">
        <v>-4.9047809333333321</v>
      </c>
      <c r="O101" s="60" t="s">
        <v>120</v>
      </c>
      <c r="P101" s="60">
        <v>0</v>
      </c>
      <c r="Q101" s="60" t="s">
        <v>120</v>
      </c>
      <c r="R101" s="60" t="s">
        <v>120</v>
      </c>
      <c r="S101" s="60">
        <v>2021</v>
      </c>
      <c r="T101" s="60" t="s">
        <v>120</v>
      </c>
      <c r="U101" s="60" t="s">
        <v>120</v>
      </c>
      <c r="V101" s="60" t="s">
        <v>120</v>
      </c>
      <c r="W101" s="60" t="s">
        <v>120</v>
      </c>
      <c r="X101" s="65">
        <v>44501</v>
      </c>
      <c r="Y101" s="60">
        <v>2021</v>
      </c>
    </row>
    <row r="102" spans="1:30" s="60" customFormat="1" x14ac:dyDescent="0.2">
      <c r="C102" s="60" t="s">
        <v>131</v>
      </c>
      <c r="D102" s="60" t="s">
        <v>131</v>
      </c>
      <c r="E102" s="60" t="s">
        <v>24</v>
      </c>
      <c r="F102" s="65">
        <v>44501</v>
      </c>
      <c r="G102" s="60">
        <v>2021</v>
      </c>
      <c r="H102" s="60">
        <v>-12</v>
      </c>
      <c r="I102" s="60">
        <v>1</v>
      </c>
      <c r="J102" s="58">
        <f t="shared" si="3"/>
        <v>-12</v>
      </c>
      <c r="K102" s="60">
        <v>1958.333333333333</v>
      </c>
      <c r="L102" s="60">
        <v>-23.499999999999996</v>
      </c>
      <c r="M102" s="60">
        <v>0.20641655177304954</v>
      </c>
      <c r="N102" s="60">
        <v>-4.8507889666666637</v>
      </c>
      <c r="O102" s="60" t="s">
        <v>120</v>
      </c>
      <c r="P102" s="60">
        <v>0</v>
      </c>
      <c r="Q102" s="60" t="s">
        <v>120</v>
      </c>
      <c r="R102" s="60" t="s">
        <v>120</v>
      </c>
      <c r="S102" s="60">
        <v>2021</v>
      </c>
      <c r="T102" s="60" t="s">
        <v>120</v>
      </c>
      <c r="U102" s="60" t="s">
        <v>120</v>
      </c>
      <c r="V102" s="60" t="s">
        <v>120</v>
      </c>
      <c r="W102" s="60" t="s">
        <v>120</v>
      </c>
      <c r="X102" s="65">
        <v>44501</v>
      </c>
      <c r="Y102" s="60">
        <v>2021</v>
      </c>
    </row>
    <row r="103" spans="1:30" x14ac:dyDescent="0.2">
      <c r="A103" s="58" t="s">
        <v>235</v>
      </c>
      <c r="B103" s="58" t="s">
        <v>337</v>
      </c>
      <c r="C103" s="58" t="s">
        <v>210</v>
      </c>
      <c r="D103" s="58" t="s">
        <v>209</v>
      </c>
      <c r="E103" s="58" t="s">
        <v>24</v>
      </c>
      <c r="F103" s="59">
        <v>40095</v>
      </c>
      <c r="G103" s="58">
        <v>2009</v>
      </c>
      <c r="H103" s="58">
        <v>6.6</v>
      </c>
      <c r="I103" s="58">
        <v>1</v>
      </c>
      <c r="J103" s="58">
        <f t="shared" si="3"/>
        <v>6.6</v>
      </c>
      <c r="K103" s="58">
        <v>2413.3333336666669</v>
      </c>
      <c r="O103" s="58" t="s">
        <v>25</v>
      </c>
      <c r="S103" s="58">
        <v>2019</v>
      </c>
      <c r="X103" s="59">
        <v>45573</v>
      </c>
      <c r="Y103" s="58">
        <v>2024</v>
      </c>
      <c r="Z103" s="58" t="s">
        <v>165</v>
      </c>
      <c r="AB103" s="59">
        <v>46752</v>
      </c>
    </row>
    <row r="104" spans="1:30" s="60" customFormat="1" x14ac:dyDescent="0.2">
      <c r="C104" s="60" t="s">
        <v>133</v>
      </c>
      <c r="D104" s="60" t="s">
        <v>133</v>
      </c>
      <c r="E104" s="60" t="s">
        <v>24</v>
      </c>
      <c r="F104" s="65">
        <v>44622.25</v>
      </c>
      <c r="G104" s="60">
        <v>2022</v>
      </c>
      <c r="H104" s="60">
        <v>-12</v>
      </c>
      <c r="I104" s="60">
        <v>1</v>
      </c>
      <c r="J104" s="58">
        <f t="shared" si="3"/>
        <v>-12</v>
      </c>
      <c r="K104" s="60">
        <v>1558.3332499999997</v>
      </c>
      <c r="L104" s="60">
        <v>-18.699998999999995</v>
      </c>
      <c r="M104" s="60">
        <v>0.76456417578314539</v>
      </c>
      <c r="N104" s="60">
        <v>-14.297349322580638</v>
      </c>
      <c r="O104" s="60" t="s">
        <v>120</v>
      </c>
      <c r="P104" s="60">
        <v>0</v>
      </c>
      <c r="Q104" s="60" t="s">
        <v>120</v>
      </c>
      <c r="R104" s="60" t="s">
        <v>120</v>
      </c>
      <c r="S104" s="60">
        <v>2022</v>
      </c>
      <c r="T104" s="60" t="s">
        <v>120</v>
      </c>
      <c r="U104" s="60" t="s">
        <v>120</v>
      </c>
      <c r="V104" s="60" t="s">
        <v>120</v>
      </c>
      <c r="W104" s="60" t="s">
        <v>120</v>
      </c>
      <c r="X104" s="65">
        <v>44622.25</v>
      </c>
      <c r="Y104" s="60">
        <v>2022</v>
      </c>
    </row>
    <row r="105" spans="1:30" x14ac:dyDescent="0.2">
      <c r="A105" s="58" t="s">
        <v>236</v>
      </c>
      <c r="B105" s="58" t="s">
        <v>336</v>
      </c>
      <c r="C105" s="58" t="s">
        <v>210</v>
      </c>
      <c r="D105" s="58" t="s">
        <v>208</v>
      </c>
      <c r="E105" s="58" t="s">
        <v>24</v>
      </c>
      <c r="F105" s="59">
        <v>40095</v>
      </c>
      <c r="G105" s="58">
        <v>2009</v>
      </c>
      <c r="H105" s="58">
        <v>13</v>
      </c>
      <c r="I105" s="58">
        <v>1</v>
      </c>
      <c r="J105" s="58">
        <f t="shared" si="3"/>
        <v>13</v>
      </c>
      <c r="K105" s="58">
        <v>2413.3333336666669</v>
      </c>
      <c r="L105" s="58">
        <v>43.440000006000005</v>
      </c>
      <c r="M105" s="58">
        <v>0.28590513018239599</v>
      </c>
      <c r="N105" s="58">
        <v>12.419718856838715</v>
      </c>
      <c r="O105" s="58" t="s">
        <v>25</v>
      </c>
      <c r="P105" s="58">
        <v>96.5</v>
      </c>
      <c r="Q105" s="58">
        <v>4.1919600005790008</v>
      </c>
      <c r="R105" s="58">
        <v>1.198502869684936</v>
      </c>
      <c r="S105" s="58">
        <v>2019</v>
      </c>
      <c r="T105" s="58">
        <v>95.549999976250007</v>
      </c>
      <c r="U105" s="58">
        <v>4.1506919995416007</v>
      </c>
      <c r="V105" s="58">
        <v>4.1801612673700346</v>
      </c>
      <c r="W105" s="58">
        <v>2.96398786306563</v>
      </c>
      <c r="X105" s="59">
        <v>45573</v>
      </c>
      <c r="Y105" s="58">
        <v>2024</v>
      </c>
      <c r="Z105" s="58" t="s">
        <v>165</v>
      </c>
      <c r="AA105" s="58">
        <v>2027</v>
      </c>
      <c r="AB105" s="59">
        <v>46752</v>
      </c>
      <c r="AD105" s="58" t="s">
        <v>170</v>
      </c>
    </row>
    <row r="106" spans="1:30" x14ac:dyDescent="0.2">
      <c r="A106" s="58" t="s">
        <v>273</v>
      </c>
      <c r="B106" s="58" t="s">
        <v>360</v>
      </c>
      <c r="C106" s="58" t="s">
        <v>98</v>
      </c>
      <c r="D106" s="58" t="s">
        <v>98</v>
      </c>
      <c r="E106" s="58" t="s">
        <v>24</v>
      </c>
      <c r="F106" s="59">
        <v>42926</v>
      </c>
      <c r="G106" s="58">
        <v>2017</v>
      </c>
      <c r="H106" s="58">
        <v>10</v>
      </c>
      <c r="I106" s="58">
        <v>1</v>
      </c>
      <c r="J106" s="58">
        <f t="shared" si="3"/>
        <v>10</v>
      </c>
      <c r="K106" s="58">
        <v>2899.0001000000002</v>
      </c>
      <c r="L106" s="58">
        <v>28.990001000000003</v>
      </c>
      <c r="M106" s="58">
        <v>0.46538532705722202</v>
      </c>
      <c r="N106" s="58">
        <v>13.491521096774195</v>
      </c>
      <c r="O106" s="58" t="s">
        <v>25</v>
      </c>
      <c r="P106" s="58">
        <v>85.7</v>
      </c>
      <c r="Q106" s="58">
        <v>2.4844430857000002</v>
      </c>
      <c r="R106" s="58">
        <v>1.1562233579935484</v>
      </c>
      <c r="S106" s="58">
        <v>2027</v>
      </c>
      <c r="T106" s="58">
        <v>63.049994999999996</v>
      </c>
      <c r="U106" s="58">
        <v>1.8278194180999952</v>
      </c>
      <c r="V106" s="58">
        <v>2.1788600654004591</v>
      </c>
      <c r="W106" s="58">
        <v>0.97717908040598767</v>
      </c>
      <c r="X106" s="59">
        <v>48404</v>
      </c>
      <c r="Y106" s="58">
        <v>2032</v>
      </c>
    </row>
    <row r="107" spans="1:30" x14ac:dyDescent="0.2">
      <c r="A107" s="58" t="s">
        <v>255</v>
      </c>
      <c r="B107" s="58" t="s">
        <v>351</v>
      </c>
      <c r="C107" s="58" t="s">
        <v>80</v>
      </c>
      <c r="D107" s="58" t="s">
        <v>80</v>
      </c>
      <c r="E107" s="58" t="s">
        <v>24</v>
      </c>
      <c r="F107" s="59">
        <v>41532</v>
      </c>
      <c r="G107" s="58">
        <v>2013</v>
      </c>
      <c r="H107" s="58">
        <v>8</v>
      </c>
      <c r="I107" s="58">
        <v>1</v>
      </c>
      <c r="J107" s="58">
        <f t="shared" si="3"/>
        <v>8</v>
      </c>
      <c r="K107" s="58">
        <v>2387.5</v>
      </c>
      <c r="L107" s="58">
        <v>19.100000000000001</v>
      </c>
      <c r="M107" s="58">
        <v>0.34134805709511484</v>
      </c>
      <c r="N107" s="58">
        <v>6.5197478905166939</v>
      </c>
      <c r="O107" s="58" t="s">
        <v>25</v>
      </c>
      <c r="P107" s="58">
        <v>88.6</v>
      </c>
      <c r="Q107" s="58">
        <v>1.6922600000000001</v>
      </c>
      <c r="R107" s="58">
        <v>0.57764966309977894</v>
      </c>
      <c r="S107" s="58">
        <v>2023</v>
      </c>
      <c r="T107" s="58">
        <v>88.6</v>
      </c>
      <c r="U107" s="58">
        <v>1.6922600000000001</v>
      </c>
      <c r="V107" s="58">
        <v>1.6922600000000001</v>
      </c>
      <c r="W107" s="58">
        <v>1.1146103369002209</v>
      </c>
      <c r="X107" s="59">
        <v>47010</v>
      </c>
      <c r="Y107" s="58">
        <v>2028</v>
      </c>
    </row>
    <row r="108" spans="1:30" s="60" customFormat="1" x14ac:dyDescent="0.2">
      <c r="C108" s="60" t="s">
        <v>137</v>
      </c>
      <c r="D108" s="60" t="s">
        <v>137</v>
      </c>
      <c r="E108" s="60" t="s">
        <v>24</v>
      </c>
      <c r="F108" s="65">
        <v>44803.666666666664</v>
      </c>
      <c r="G108" s="60">
        <v>2022</v>
      </c>
      <c r="H108" s="60">
        <v>-12</v>
      </c>
      <c r="I108" s="60">
        <v>1</v>
      </c>
      <c r="J108" s="58">
        <f t="shared" si="3"/>
        <v>-12</v>
      </c>
      <c r="K108" s="60">
        <v>1800.0000833333334</v>
      </c>
      <c r="L108" s="60">
        <v>-21.600000999999999</v>
      </c>
      <c r="M108" s="60">
        <v>0.36698883605637111</v>
      </c>
      <c r="N108" s="60">
        <v>-7.9269592258064518</v>
      </c>
      <c r="O108" s="60" t="s">
        <v>120</v>
      </c>
      <c r="P108" s="60">
        <v>0</v>
      </c>
      <c r="Q108" s="60" t="s">
        <v>120</v>
      </c>
      <c r="R108" s="60" t="s">
        <v>120</v>
      </c>
      <c r="S108" s="60">
        <v>2022</v>
      </c>
      <c r="T108" s="60" t="s">
        <v>120</v>
      </c>
      <c r="U108" s="60" t="s">
        <v>120</v>
      </c>
      <c r="V108" s="60" t="s">
        <v>120</v>
      </c>
      <c r="W108" s="60" t="s">
        <v>120</v>
      </c>
      <c r="X108" s="65">
        <v>44803.666666666664</v>
      </c>
      <c r="Y108" s="60">
        <v>2022</v>
      </c>
    </row>
    <row r="109" spans="1:30" x14ac:dyDescent="0.2">
      <c r="A109" s="58" t="s">
        <v>272</v>
      </c>
      <c r="B109" s="58" t="s">
        <v>96</v>
      </c>
      <c r="C109" s="58" t="s">
        <v>96</v>
      </c>
      <c r="D109" s="58" t="s">
        <v>96</v>
      </c>
      <c r="E109" s="58" t="s">
        <v>24</v>
      </c>
      <c r="F109" s="59">
        <v>42705</v>
      </c>
      <c r="G109" s="58">
        <v>2016</v>
      </c>
      <c r="H109" s="58">
        <v>12.5</v>
      </c>
      <c r="I109" s="58">
        <v>1</v>
      </c>
      <c r="J109" s="58">
        <f t="shared" si="3"/>
        <v>12.5</v>
      </c>
      <c r="K109" s="58">
        <v>1702.4000000000003</v>
      </c>
      <c r="L109" s="58">
        <v>21.280000000000005</v>
      </c>
      <c r="M109" s="58">
        <v>0.10992579735629418</v>
      </c>
      <c r="N109" s="58">
        <v>2.3392209677419409</v>
      </c>
      <c r="O109" s="58" t="s">
        <v>25</v>
      </c>
      <c r="P109" s="58">
        <v>87.4</v>
      </c>
      <c r="Q109" s="58">
        <v>1.8598720000000006</v>
      </c>
      <c r="R109" s="58">
        <v>0.20444791258064562</v>
      </c>
      <c r="S109" s="58">
        <v>2026</v>
      </c>
      <c r="T109" s="58">
        <v>87.4</v>
      </c>
      <c r="U109" s="58">
        <v>1.8598720000000006</v>
      </c>
      <c r="V109" s="58">
        <v>1.8598720000000006</v>
      </c>
      <c r="W109" s="58">
        <v>1.6554240874193549</v>
      </c>
      <c r="X109" s="59">
        <v>48182</v>
      </c>
      <c r="Y109" s="58">
        <v>2031</v>
      </c>
    </row>
    <row r="110" spans="1:30" x14ac:dyDescent="0.2">
      <c r="A110" s="58" t="s">
        <v>301</v>
      </c>
      <c r="B110" s="58" t="s">
        <v>139</v>
      </c>
      <c r="C110" s="58" t="s">
        <v>139</v>
      </c>
      <c r="D110" s="58" t="s">
        <v>139</v>
      </c>
      <c r="E110" s="58" t="s">
        <v>24</v>
      </c>
      <c r="F110" s="59">
        <v>45078</v>
      </c>
      <c r="G110" s="58">
        <v>2023</v>
      </c>
      <c r="H110" s="58">
        <v>10</v>
      </c>
      <c r="I110" s="58">
        <v>0.7</v>
      </c>
      <c r="J110" s="58">
        <f t="shared" ref="J110:J128" si="4">H110*I110</f>
        <v>7</v>
      </c>
      <c r="K110" s="58">
        <v>2030</v>
      </c>
      <c r="L110" s="58">
        <v>14.21</v>
      </c>
      <c r="M110" s="58">
        <v>0.53194957908966622</v>
      </c>
      <c r="N110" s="58">
        <v>7.5590035188641576</v>
      </c>
      <c r="O110" s="58" t="s">
        <v>117</v>
      </c>
      <c r="P110" s="58">
        <v>74.8</v>
      </c>
      <c r="Q110" s="58">
        <v>1.0629080000000002</v>
      </c>
      <c r="R110" s="58">
        <v>0.56541346321103902</v>
      </c>
      <c r="S110" s="58">
        <v>2043</v>
      </c>
      <c r="T110" s="58">
        <v>74.8</v>
      </c>
      <c r="U110" s="58">
        <v>1.0629080000000002</v>
      </c>
      <c r="V110" s="58">
        <v>1.0629080000000002</v>
      </c>
      <c r="W110" s="58">
        <v>0.49749453678896105</v>
      </c>
      <c r="X110" s="59">
        <v>52382</v>
      </c>
      <c r="Y110" s="58">
        <v>2043</v>
      </c>
    </row>
    <row r="111" spans="1:30" x14ac:dyDescent="0.2">
      <c r="A111" s="58" t="s">
        <v>302</v>
      </c>
      <c r="B111" s="58" t="s">
        <v>140</v>
      </c>
      <c r="C111" s="58" t="s">
        <v>140</v>
      </c>
      <c r="D111" s="58" t="s">
        <v>140</v>
      </c>
      <c r="E111" s="58" t="s">
        <v>24</v>
      </c>
      <c r="F111" s="59">
        <v>45078</v>
      </c>
      <c r="G111" s="58">
        <v>2023</v>
      </c>
      <c r="H111" s="58">
        <v>12</v>
      </c>
      <c r="I111" s="58">
        <v>0.7</v>
      </c>
      <c r="J111" s="58">
        <f t="shared" si="4"/>
        <v>8.3999999999999986</v>
      </c>
      <c r="K111" s="58">
        <v>2200</v>
      </c>
      <c r="L111" s="58">
        <v>18.479999999999997</v>
      </c>
      <c r="M111" s="58">
        <v>0.53194957908966622</v>
      </c>
      <c r="N111" s="58">
        <v>9.83042822157703</v>
      </c>
      <c r="O111" s="58" t="s">
        <v>117</v>
      </c>
      <c r="P111" s="58">
        <v>74.8</v>
      </c>
      <c r="Q111" s="58">
        <v>1.3823039999999995</v>
      </c>
      <c r="R111" s="58">
        <v>0.73531603097396181</v>
      </c>
      <c r="S111" s="58">
        <v>2043</v>
      </c>
      <c r="T111" s="58">
        <v>74.8</v>
      </c>
      <c r="U111" s="58">
        <v>1.3823039999999995</v>
      </c>
      <c r="V111" s="58">
        <v>1.3823039999999995</v>
      </c>
      <c r="W111" s="58">
        <v>0.64698796902603795</v>
      </c>
      <c r="X111" s="59">
        <v>52382</v>
      </c>
      <c r="Y111" s="58">
        <v>2043</v>
      </c>
    </row>
    <row r="112" spans="1:30" x14ac:dyDescent="0.2">
      <c r="A112" s="58" t="s">
        <v>303</v>
      </c>
      <c r="B112" s="58" t="s">
        <v>384</v>
      </c>
      <c r="C112" s="58" t="s">
        <v>141</v>
      </c>
      <c r="D112" s="58" t="s">
        <v>141</v>
      </c>
      <c r="E112" s="58" t="s">
        <v>24</v>
      </c>
      <c r="F112" s="59">
        <v>45078</v>
      </c>
      <c r="G112" s="58">
        <v>2023</v>
      </c>
      <c r="H112" s="58">
        <v>15</v>
      </c>
      <c r="I112" s="58">
        <v>0.7</v>
      </c>
      <c r="J112" s="58">
        <f t="shared" si="4"/>
        <v>10.5</v>
      </c>
      <c r="K112" s="58">
        <v>2225</v>
      </c>
      <c r="L112" s="58">
        <v>23.362500000000001</v>
      </c>
      <c r="M112" s="58">
        <v>0.55889333333333335</v>
      </c>
      <c r="N112" s="58">
        <v>13.057145500000001</v>
      </c>
      <c r="O112" s="58" t="s">
        <v>117</v>
      </c>
      <c r="P112" s="58">
        <v>74.8</v>
      </c>
      <c r="Q112" s="58">
        <v>1.7475150000000002</v>
      </c>
      <c r="R112" s="58">
        <v>0.97667448339999996</v>
      </c>
      <c r="S112" s="58">
        <v>2043</v>
      </c>
      <c r="T112" s="58">
        <v>74.8</v>
      </c>
      <c r="U112" s="58">
        <v>1.7475150000000002</v>
      </c>
      <c r="V112" s="58">
        <v>1.7475150000000002</v>
      </c>
      <c r="W112" s="58">
        <v>0.77084051659999997</v>
      </c>
      <c r="X112" s="59">
        <v>52382</v>
      </c>
      <c r="Y112" s="58">
        <v>2043</v>
      </c>
    </row>
    <row r="113" spans="1:25" s="62" customFormat="1" x14ac:dyDescent="0.2">
      <c r="A113" s="58" t="s">
        <v>396</v>
      </c>
      <c r="B113" s="58" t="s">
        <v>397</v>
      </c>
      <c r="C113" s="62" t="s">
        <v>142</v>
      </c>
      <c r="D113" s="62" t="s">
        <v>142</v>
      </c>
      <c r="E113" s="62" t="s">
        <v>24</v>
      </c>
      <c r="F113" s="66">
        <v>45047</v>
      </c>
      <c r="G113" s="62">
        <v>2023</v>
      </c>
      <c r="H113" s="62">
        <v>25.2</v>
      </c>
      <c r="I113" s="62">
        <v>0.7</v>
      </c>
      <c r="J113" s="62">
        <f t="shared" si="4"/>
        <v>17.639999999999997</v>
      </c>
      <c r="K113" s="62">
        <v>2527.25</v>
      </c>
      <c r="L113" s="62">
        <v>44.580689999999997</v>
      </c>
      <c r="M113" s="62">
        <v>0.60944099627737325</v>
      </c>
      <c r="N113" s="62">
        <v>27.169300128332729</v>
      </c>
      <c r="O113" s="62" t="s">
        <v>122</v>
      </c>
      <c r="P113" s="62">
        <v>63</v>
      </c>
      <c r="Q113" s="62">
        <v>2.8085834699999999</v>
      </c>
      <c r="R113" s="62">
        <v>1.7116659080849619</v>
      </c>
      <c r="S113" s="62">
        <v>2043</v>
      </c>
      <c r="T113" s="62">
        <v>63</v>
      </c>
      <c r="U113" s="62">
        <v>2.8085834699999999</v>
      </c>
      <c r="V113" s="62">
        <v>2.8085834699999999</v>
      </c>
      <c r="W113" s="62">
        <v>1.0969175619150378</v>
      </c>
      <c r="X113" s="66">
        <v>52351</v>
      </c>
      <c r="Y113" s="62">
        <v>2043</v>
      </c>
    </row>
    <row r="114" spans="1:25" x14ac:dyDescent="0.2">
      <c r="A114" s="58" t="s">
        <v>304</v>
      </c>
      <c r="B114" s="58" t="s">
        <v>385</v>
      </c>
      <c r="C114" s="58" t="s">
        <v>143</v>
      </c>
      <c r="D114" s="58" t="s">
        <v>143</v>
      </c>
      <c r="E114" s="58" t="s">
        <v>24</v>
      </c>
      <c r="F114" s="59">
        <v>45139</v>
      </c>
      <c r="G114" s="58">
        <v>2023</v>
      </c>
      <c r="H114" s="58">
        <v>21</v>
      </c>
      <c r="I114" s="58">
        <v>0.7</v>
      </c>
      <c r="J114" s="58">
        <f t="shared" si="4"/>
        <v>14.7</v>
      </c>
      <c r="K114" s="58">
        <v>3042</v>
      </c>
      <c r="L114" s="58">
        <v>44.717400000000005</v>
      </c>
      <c r="M114" s="58">
        <v>0.42733952005325476</v>
      </c>
      <c r="N114" s="58">
        <v>19.109512254029415</v>
      </c>
      <c r="O114" s="58" t="s">
        <v>122</v>
      </c>
      <c r="P114" s="58">
        <v>60</v>
      </c>
      <c r="Q114" s="58">
        <v>2.6830440000000002</v>
      </c>
      <c r="R114" s="58">
        <v>1.1465707352417649</v>
      </c>
      <c r="S114" s="58">
        <v>2043</v>
      </c>
      <c r="T114" s="58">
        <v>60</v>
      </c>
      <c r="U114" s="58">
        <v>2.6830440000000002</v>
      </c>
      <c r="V114" s="58">
        <v>2.6830440000000002</v>
      </c>
      <c r="W114" s="58">
        <v>1.5364732647582355</v>
      </c>
      <c r="X114" s="59">
        <v>52443</v>
      </c>
      <c r="Y114" s="58">
        <v>2043</v>
      </c>
    </row>
    <row r="115" spans="1:25" x14ac:dyDescent="0.2">
      <c r="A115" s="58" t="s">
        <v>305</v>
      </c>
      <c r="B115" s="58" t="s">
        <v>144</v>
      </c>
      <c r="C115" s="58" t="s">
        <v>144</v>
      </c>
      <c r="D115" s="58" t="s">
        <v>144</v>
      </c>
      <c r="E115" s="58" t="s">
        <v>24</v>
      </c>
      <c r="F115" s="59">
        <v>45261</v>
      </c>
      <c r="G115" s="58">
        <v>2023</v>
      </c>
      <c r="H115" s="58">
        <v>10</v>
      </c>
      <c r="I115" s="58">
        <v>0.7</v>
      </c>
      <c r="J115" s="58">
        <f t="shared" si="4"/>
        <v>7</v>
      </c>
      <c r="K115" s="58">
        <v>2736</v>
      </c>
      <c r="L115" s="58">
        <v>19.152000000000001</v>
      </c>
      <c r="M115" s="58">
        <v>9.0961290322580449E-2</v>
      </c>
      <c r="N115" s="58">
        <v>1.7420906322580609</v>
      </c>
      <c r="O115" s="58" t="s">
        <v>122</v>
      </c>
      <c r="P115" s="58">
        <v>60</v>
      </c>
      <c r="Q115" s="58">
        <v>1.1491200000000001</v>
      </c>
      <c r="R115" s="58">
        <v>0.10452543793548365</v>
      </c>
      <c r="S115" s="58">
        <v>2043</v>
      </c>
      <c r="T115" s="58">
        <v>60</v>
      </c>
      <c r="U115" s="58">
        <v>1.1491200000000001</v>
      </c>
      <c r="V115" s="58">
        <v>1.1491200000000001</v>
      </c>
      <c r="W115" s="58">
        <v>1.0445945620645163</v>
      </c>
      <c r="X115" s="59">
        <v>52565</v>
      </c>
      <c r="Y115" s="58">
        <v>2043</v>
      </c>
    </row>
    <row r="116" spans="1:25" x14ac:dyDescent="0.2">
      <c r="A116" s="58" t="s">
        <v>306</v>
      </c>
      <c r="B116" s="58" t="s">
        <v>386</v>
      </c>
      <c r="C116" s="58" t="s">
        <v>145</v>
      </c>
      <c r="D116" s="58" t="s">
        <v>145</v>
      </c>
      <c r="E116" s="58" t="s">
        <v>73</v>
      </c>
      <c r="F116" s="59">
        <v>45261</v>
      </c>
      <c r="G116" s="58">
        <v>2023</v>
      </c>
      <c r="H116" s="58">
        <v>10</v>
      </c>
      <c r="I116" s="58">
        <v>0.7</v>
      </c>
      <c r="J116" s="58">
        <f t="shared" si="4"/>
        <v>7</v>
      </c>
      <c r="K116" s="58">
        <v>1500</v>
      </c>
      <c r="L116" s="58">
        <v>10.5</v>
      </c>
      <c r="M116" s="58">
        <v>3.0188508176393479E-2</v>
      </c>
      <c r="N116" s="58">
        <v>0.31697933585213151</v>
      </c>
      <c r="O116" s="58" t="s">
        <v>122</v>
      </c>
      <c r="P116" s="58">
        <v>53</v>
      </c>
      <c r="Q116" s="58">
        <v>0.55649999999999999</v>
      </c>
      <c r="R116" s="58">
        <v>1.6799904800162972E-2</v>
      </c>
      <c r="S116" s="58">
        <v>2043</v>
      </c>
      <c r="T116" s="58">
        <v>53</v>
      </c>
      <c r="U116" s="58">
        <v>0.55649999999999999</v>
      </c>
      <c r="V116" s="58">
        <v>0.55649999999999999</v>
      </c>
      <c r="W116" s="58">
        <v>0.53970009519983708</v>
      </c>
      <c r="X116" s="59">
        <v>52565</v>
      </c>
      <c r="Y116" s="58">
        <v>2043</v>
      </c>
    </row>
    <row r="117" spans="1:25" x14ac:dyDescent="0.2">
      <c r="A117" s="58" t="s">
        <v>307</v>
      </c>
      <c r="B117" s="58" t="s">
        <v>387</v>
      </c>
      <c r="C117" s="58" t="s">
        <v>146</v>
      </c>
      <c r="D117" s="58" t="s">
        <v>146</v>
      </c>
      <c r="E117" s="58" t="s">
        <v>24</v>
      </c>
      <c r="F117" s="59">
        <v>45323</v>
      </c>
      <c r="G117" s="58">
        <v>2024</v>
      </c>
      <c r="H117" s="58">
        <v>14.4</v>
      </c>
      <c r="I117" s="58">
        <v>0.5</v>
      </c>
      <c r="J117" s="58">
        <f t="shared" si="4"/>
        <v>7.2</v>
      </c>
      <c r="K117" s="58">
        <v>2772.9861111111109</v>
      </c>
      <c r="L117" s="58">
        <v>19.965499999999999</v>
      </c>
      <c r="M117" s="58">
        <v>0.88142421505609048</v>
      </c>
      <c r="N117" s="58">
        <v>17.598075165702372</v>
      </c>
      <c r="O117" s="58" t="s">
        <v>122</v>
      </c>
      <c r="P117" s="58">
        <v>56.8</v>
      </c>
      <c r="Q117" s="58">
        <v>1.1340403999999999</v>
      </c>
      <c r="R117" s="58">
        <v>0.99957066941189476</v>
      </c>
      <c r="S117" s="58">
        <v>2044</v>
      </c>
      <c r="T117" s="58">
        <v>56.8</v>
      </c>
      <c r="U117" s="58">
        <v>1.1340403999999999</v>
      </c>
      <c r="V117" s="58">
        <v>1.1340403999999999</v>
      </c>
      <c r="W117" s="58">
        <v>0.13446973058810516</v>
      </c>
      <c r="X117" s="59">
        <v>52627</v>
      </c>
      <c r="Y117" s="58">
        <v>2044</v>
      </c>
    </row>
    <row r="118" spans="1:25" x14ac:dyDescent="0.2">
      <c r="A118" s="58" t="s">
        <v>308</v>
      </c>
      <c r="B118" s="58" t="s">
        <v>147</v>
      </c>
      <c r="C118" s="58" t="s">
        <v>147</v>
      </c>
      <c r="D118" s="58" t="s">
        <v>147</v>
      </c>
      <c r="E118" s="58" t="s">
        <v>73</v>
      </c>
      <c r="F118" s="59">
        <v>45383</v>
      </c>
      <c r="G118" s="58">
        <v>2024</v>
      </c>
      <c r="H118" s="58">
        <v>13</v>
      </c>
      <c r="I118" s="58">
        <v>0.5</v>
      </c>
      <c r="J118" s="58">
        <f t="shared" si="4"/>
        <v>6.5</v>
      </c>
      <c r="K118" s="58">
        <v>1846.6923076923076</v>
      </c>
      <c r="L118" s="58">
        <v>12.003500000000001</v>
      </c>
      <c r="M118" s="58">
        <v>0.77053939603440125</v>
      </c>
      <c r="N118" s="58">
        <v>9.2491696402989358</v>
      </c>
      <c r="O118" s="58" t="s">
        <v>122</v>
      </c>
      <c r="P118" s="58">
        <v>52.9</v>
      </c>
      <c r="Q118" s="58">
        <v>0.63498515</v>
      </c>
      <c r="R118" s="58">
        <v>0.4892810739718137</v>
      </c>
      <c r="S118" s="58">
        <v>2044</v>
      </c>
      <c r="T118" s="58">
        <v>52.9</v>
      </c>
      <c r="U118" s="58">
        <v>0.63498515</v>
      </c>
      <c r="V118" s="58">
        <v>0.63498515</v>
      </c>
      <c r="W118" s="58">
        <v>0.14570407602818633</v>
      </c>
      <c r="X118" s="59">
        <v>52687</v>
      </c>
      <c r="Y118" s="58">
        <v>2044</v>
      </c>
    </row>
    <row r="119" spans="1:25" x14ac:dyDescent="0.2">
      <c r="A119" s="58" t="s">
        <v>309</v>
      </c>
      <c r="B119" s="58" t="s">
        <v>388</v>
      </c>
      <c r="C119" s="58" t="s">
        <v>148</v>
      </c>
      <c r="D119" s="58" t="s">
        <v>148</v>
      </c>
      <c r="E119" s="58" t="s">
        <v>24</v>
      </c>
      <c r="F119" s="59">
        <v>45383</v>
      </c>
      <c r="G119" s="58">
        <v>2024</v>
      </c>
      <c r="H119" s="58">
        <v>19.799999999999997</v>
      </c>
      <c r="I119" s="58">
        <v>0.5</v>
      </c>
      <c r="J119" s="58">
        <f t="shared" si="4"/>
        <v>9.8999999999999986</v>
      </c>
      <c r="K119" s="58">
        <v>3080.7453416149069</v>
      </c>
      <c r="L119" s="58">
        <v>30.499378881987575</v>
      </c>
      <c r="M119" s="58">
        <v>0.69006610304659499</v>
      </c>
      <c r="N119" s="58">
        <v>21.046587530434781</v>
      </c>
      <c r="O119" s="58" t="s">
        <v>122</v>
      </c>
      <c r="P119" s="58">
        <v>66.900000000000006</v>
      </c>
      <c r="Q119" s="58">
        <v>2.0404084472049688</v>
      </c>
      <c r="R119" s="58">
        <v>1.4080167057860871</v>
      </c>
      <c r="S119" s="58">
        <v>2044</v>
      </c>
      <c r="T119" s="58">
        <v>66.900000000000006</v>
      </c>
      <c r="U119" s="58">
        <v>2.0404084472049688</v>
      </c>
      <c r="V119" s="58">
        <v>2.0404084472049688</v>
      </c>
      <c r="W119" s="58">
        <v>0.63239174141888188</v>
      </c>
      <c r="X119" s="59">
        <v>52687</v>
      </c>
      <c r="Y119" s="58">
        <v>2044</v>
      </c>
    </row>
    <row r="120" spans="1:25" s="60" customFormat="1" x14ac:dyDescent="0.2">
      <c r="C120" s="60" t="s">
        <v>149</v>
      </c>
      <c r="D120" s="60" t="s">
        <v>149</v>
      </c>
      <c r="E120" s="60" t="s">
        <v>24</v>
      </c>
      <c r="F120" s="65">
        <v>45413.666666666664</v>
      </c>
      <c r="G120" s="60">
        <v>2024</v>
      </c>
      <c r="H120" s="60">
        <v>-11.5</v>
      </c>
      <c r="I120" s="60">
        <v>1</v>
      </c>
      <c r="J120" s="60">
        <f t="shared" si="4"/>
        <v>-11.5</v>
      </c>
      <c r="K120" s="60">
        <v>1765.2173043478265</v>
      </c>
      <c r="L120" s="60">
        <v>-20.299999000000003</v>
      </c>
      <c r="M120" s="60">
        <v>0.607649766148328</v>
      </c>
      <c r="N120" s="60">
        <v>-12.335289645161295</v>
      </c>
      <c r="O120" s="60" t="s">
        <v>120</v>
      </c>
      <c r="P120" s="60">
        <v>0</v>
      </c>
      <c r="Q120" s="60" t="s">
        <v>120</v>
      </c>
      <c r="R120" s="60" t="s">
        <v>120</v>
      </c>
      <c r="S120" s="60">
        <v>2024</v>
      </c>
      <c r="T120" s="60" t="s">
        <v>120</v>
      </c>
      <c r="U120" s="60" t="s">
        <v>120</v>
      </c>
      <c r="V120" s="60" t="s">
        <v>120</v>
      </c>
      <c r="W120" s="60" t="s">
        <v>120</v>
      </c>
      <c r="X120" s="65">
        <v>45413.666666666664</v>
      </c>
      <c r="Y120" s="60">
        <v>2024</v>
      </c>
    </row>
    <row r="121" spans="1:25" s="60" customFormat="1" x14ac:dyDescent="0.2">
      <c r="C121" s="60" t="s">
        <v>150</v>
      </c>
      <c r="D121" s="60" t="s">
        <v>150</v>
      </c>
      <c r="E121" s="60" t="s">
        <v>24</v>
      </c>
      <c r="F121" s="65">
        <v>45474</v>
      </c>
      <c r="G121" s="60">
        <v>2024</v>
      </c>
      <c r="H121" s="60">
        <v>152.6</v>
      </c>
      <c r="I121" s="60">
        <v>0.5</v>
      </c>
      <c r="J121" s="60">
        <f>H121*I121</f>
        <v>76.3</v>
      </c>
      <c r="K121" s="60">
        <v>2200</v>
      </c>
      <c r="L121" s="60">
        <v>167.86</v>
      </c>
      <c r="M121" s="60">
        <v>0.48678709677419352</v>
      </c>
      <c r="N121" s="60">
        <v>81.712082064516125</v>
      </c>
      <c r="O121" s="60" t="s">
        <v>122</v>
      </c>
      <c r="P121" s="60">
        <v>58</v>
      </c>
      <c r="Q121" s="60">
        <v>9.7358800000000016</v>
      </c>
      <c r="R121" s="60">
        <v>4.7393007597419352</v>
      </c>
      <c r="S121" s="60">
        <v>2044</v>
      </c>
      <c r="T121" s="60">
        <v>58</v>
      </c>
      <c r="U121" s="60">
        <v>9.7358800000000016</v>
      </c>
      <c r="V121" s="60">
        <v>9.7358800000000016</v>
      </c>
      <c r="W121" s="60">
        <v>4.9965792402580655</v>
      </c>
      <c r="X121" s="65">
        <v>52778</v>
      </c>
      <c r="Y121" s="60">
        <v>2044</v>
      </c>
    </row>
    <row r="122" spans="1:25" s="60" customFormat="1" x14ac:dyDescent="0.2">
      <c r="C122" s="60" t="s">
        <v>151</v>
      </c>
      <c r="D122" s="60" t="s">
        <v>151</v>
      </c>
      <c r="E122" s="60" t="s">
        <v>73</v>
      </c>
      <c r="F122" s="65">
        <v>45474</v>
      </c>
      <c r="G122" s="60">
        <v>2024</v>
      </c>
      <c r="H122" s="60">
        <v>134</v>
      </c>
      <c r="I122" s="60">
        <v>0.5</v>
      </c>
      <c r="J122" s="60">
        <f t="shared" si="4"/>
        <v>67</v>
      </c>
      <c r="K122" s="60">
        <v>1200</v>
      </c>
      <c r="L122" s="60">
        <v>80.400000000000006</v>
      </c>
      <c r="M122" s="60">
        <v>0.47798695953588544</v>
      </c>
      <c r="N122" s="60">
        <v>38.430151546685195</v>
      </c>
      <c r="O122" s="60" t="s">
        <v>122</v>
      </c>
      <c r="P122" s="60">
        <v>53</v>
      </c>
      <c r="Q122" s="60">
        <v>4.2612000000000005</v>
      </c>
      <c r="R122" s="60">
        <v>2.0367980319743153</v>
      </c>
      <c r="S122" s="60">
        <v>2044</v>
      </c>
      <c r="T122" s="60">
        <v>53</v>
      </c>
      <c r="U122" s="60">
        <v>4.2612000000000005</v>
      </c>
      <c r="V122" s="60">
        <v>4.2612000000000005</v>
      </c>
      <c r="W122" s="60">
        <v>2.2244019680256852</v>
      </c>
      <c r="X122" s="65">
        <v>52778</v>
      </c>
      <c r="Y122" s="60">
        <v>2044</v>
      </c>
    </row>
    <row r="123" spans="1:25" x14ac:dyDescent="0.2">
      <c r="A123" s="58" t="s">
        <v>310</v>
      </c>
      <c r="B123" s="58" t="s">
        <v>390</v>
      </c>
      <c r="C123" s="58" t="s">
        <v>152</v>
      </c>
      <c r="D123" s="58" t="s">
        <v>152</v>
      </c>
      <c r="E123" s="58" t="s">
        <v>24</v>
      </c>
      <c r="F123" s="59">
        <v>45657</v>
      </c>
      <c r="G123" s="58">
        <v>2024</v>
      </c>
      <c r="H123" s="58">
        <v>15</v>
      </c>
      <c r="I123" s="58">
        <v>0.5</v>
      </c>
      <c r="J123" s="58">
        <f t="shared" si="4"/>
        <v>7.5</v>
      </c>
      <c r="K123" s="58">
        <v>3110</v>
      </c>
      <c r="L123" s="58">
        <v>23.324999999999999</v>
      </c>
      <c r="M123" s="58">
        <v>1.1102230246251565E-16</v>
      </c>
      <c r="N123" s="58">
        <v>2.5895952049381776E-15</v>
      </c>
      <c r="O123" s="58" t="s">
        <v>122</v>
      </c>
      <c r="P123" s="58">
        <v>62</v>
      </c>
      <c r="Q123" s="58">
        <v>1.4461499999999998</v>
      </c>
      <c r="R123" s="58">
        <v>1.6055490270616699E-16</v>
      </c>
      <c r="S123" s="58">
        <v>2044</v>
      </c>
      <c r="T123" s="58">
        <v>62</v>
      </c>
      <c r="U123" s="58">
        <v>1.4461499999999998</v>
      </c>
      <c r="V123" s="58">
        <v>1.4461499999999998</v>
      </c>
      <c r="W123" s="58">
        <v>1.4461499999999996</v>
      </c>
      <c r="X123" s="59">
        <v>52961</v>
      </c>
      <c r="Y123" s="58">
        <v>2044</v>
      </c>
    </row>
    <row r="124" spans="1:25" s="60" customFormat="1" x14ac:dyDescent="0.2">
      <c r="C124" s="60" t="s">
        <v>153</v>
      </c>
      <c r="D124" s="60" t="s">
        <v>153</v>
      </c>
      <c r="E124" s="60" t="s">
        <v>24</v>
      </c>
      <c r="F124" s="65">
        <v>45839</v>
      </c>
      <c r="G124" s="60">
        <v>2025</v>
      </c>
      <c r="H124" s="60">
        <v>205.1</v>
      </c>
      <c r="I124" s="60">
        <v>0.4</v>
      </c>
      <c r="J124" s="60">
        <f t="shared" si="4"/>
        <v>82.04</v>
      </c>
      <c r="K124" s="60">
        <v>2200</v>
      </c>
      <c r="L124" s="60">
        <v>180.488</v>
      </c>
      <c r="M124" s="60">
        <v>0.48678709677419352</v>
      </c>
      <c r="N124" s="60">
        <v>87.859229522580634</v>
      </c>
      <c r="O124" s="60" t="s">
        <v>122</v>
      </c>
      <c r="P124" s="60">
        <v>55</v>
      </c>
      <c r="Q124" s="60">
        <v>9.9268400000000003</v>
      </c>
      <c r="R124" s="60">
        <v>4.8322576237419357</v>
      </c>
      <c r="S124" s="60">
        <v>2045</v>
      </c>
      <c r="T124" s="60">
        <v>55</v>
      </c>
      <c r="U124" s="60">
        <v>9.9268400000000003</v>
      </c>
      <c r="V124" s="60">
        <v>9.9268400000000003</v>
      </c>
      <c r="W124" s="60">
        <v>5.0945823762580646</v>
      </c>
      <c r="X124" s="65">
        <v>53143</v>
      </c>
      <c r="Y124" s="60">
        <v>2045</v>
      </c>
    </row>
    <row r="125" spans="1:25" s="60" customFormat="1" x14ac:dyDescent="0.2">
      <c r="C125" s="60" t="s">
        <v>154</v>
      </c>
      <c r="D125" s="60" t="s">
        <v>154</v>
      </c>
      <c r="E125" s="60" t="s">
        <v>73</v>
      </c>
      <c r="F125" s="65">
        <v>45839</v>
      </c>
      <c r="G125" s="60">
        <v>2025</v>
      </c>
      <c r="H125" s="60">
        <v>180</v>
      </c>
      <c r="I125" s="60">
        <v>0.4</v>
      </c>
      <c r="J125" s="60">
        <f t="shared" si="4"/>
        <v>72</v>
      </c>
      <c r="K125" s="60">
        <v>1200</v>
      </c>
      <c r="L125" s="60">
        <v>86.4</v>
      </c>
      <c r="M125" s="60">
        <v>0.47798695953588544</v>
      </c>
      <c r="N125" s="60">
        <v>41.298073303900502</v>
      </c>
      <c r="O125" s="60" t="s">
        <v>122</v>
      </c>
      <c r="P125" s="60">
        <v>50</v>
      </c>
      <c r="Q125" s="60">
        <v>4.32</v>
      </c>
      <c r="R125" s="60">
        <v>2.064903665195025</v>
      </c>
      <c r="S125" s="60">
        <v>2045</v>
      </c>
      <c r="T125" s="60">
        <v>50</v>
      </c>
      <c r="U125" s="60">
        <v>4.32</v>
      </c>
      <c r="V125" s="60">
        <v>4.32</v>
      </c>
      <c r="W125" s="60">
        <v>2.2550963348049753</v>
      </c>
      <c r="X125" s="65">
        <v>53143</v>
      </c>
      <c r="Y125" s="60">
        <v>2045</v>
      </c>
    </row>
    <row r="126" spans="1:25" x14ac:dyDescent="0.2">
      <c r="A126" s="58" t="s">
        <v>311</v>
      </c>
      <c r="B126" s="58" t="s">
        <v>391</v>
      </c>
      <c r="C126" s="58" t="s">
        <v>155</v>
      </c>
      <c r="D126" s="58" t="s">
        <v>155</v>
      </c>
      <c r="E126" s="58" t="s">
        <v>24</v>
      </c>
      <c r="F126" s="59">
        <v>45992</v>
      </c>
      <c r="G126" s="58">
        <v>2025</v>
      </c>
      <c r="H126" s="58">
        <v>68</v>
      </c>
      <c r="I126" s="58">
        <v>0.4</v>
      </c>
      <c r="J126" s="58">
        <f t="shared" si="4"/>
        <v>27.200000000000003</v>
      </c>
      <c r="K126" s="58">
        <v>2330</v>
      </c>
      <c r="L126" s="58">
        <v>63.376000000000005</v>
      </c>
      <c r="M126" s="58">
        <v>9.0961290322580449E-2</v>
      </c>
      <c r="N126" s="58">
        <v>5.7647627354838589</v>
      </c>
      <c r="O126" s="58" t="s">
        <v>122</v>
      </c>
      <c r="P126" s="58">
        <v>57.07</v>
      </c>
      <c r="Q126" s="58">
        <v>3.6168683200000005</v>
      </c>
      <c r="R126" s="58">
        <v>0.32899500931406384</v>
      </c>
      <c r="S126" s="58">
        <v>2045</v>
      </c>
      <c r="T126" s="58">
        <v>57.07</v>
      </c>
      <c r="U126" s="58">
        <v>3.6168683200000005</v>
      </c>
      <c r="V126" s="58">
        <v>3.61686832</v>
      </c>
      <c r="W126" s="58">
        <v>3.2878733106859368</v>
      </c>
      <c r="X126" s="59">
        <v>53296</v>
      </c>
      <c r="Y126" s="58">
        <v>2045</v>
      </c>
    </row>
    <row r="127" spans="1:25" x14ac:dyDescent="0.2">
      <c r="A127" s="58" t="s">
        <v>394</v>
      </c>
      <c r="B127" s="58" t="s">
        <v>395</v>
      </c>
      <c r="C127" s="58" t="s">
        <v>156</v>
      </c>
      <c r="D127" s="58" t="s">
        <v>156</v>
      </c>
      <c r="E127" s="58" t="s">
        <v>73</v>
      </c>
      <c r="F127" s="59">
        <v>45992</v>
      </c>
      <c r="G127" s="58">
        <v>2025</v>
      </c>
      <c r="H127" s="58">
        <v>106</v>
      </c>
      <c r="I127" s="58">
        <v>0.4</v>
      </c>
      <c r="J127" s="58">
        <f t="shared" si="4"/>
        <v>42.400000000000006</v>
      </c>
      <c r="K127" s="58">
        <v>1493.3962264150944</v>
      </c>
      <c r="L127" s="58">
        <v>63.320000000000007</v>
      </c>
      <c r="M127" s="58">
        <v>3.500988804974086E-2</v>
      </c>
      <c r="N127" s="58">
        <v>2.2168261113095915</v>
      </c>
      <c r="O127" s="58" t="s">
        <v>157</v>
      </c>
      <c r="P127" s="58">
        <v>45</v>
      </c>
      <c r="Q127" s="58">
        <v>2.8494000000000006</v>
      </c>
      <c r="R127" s="58">
        <v>9.9757175008931609E-2</v>
      </c>
      <c r="S127" s="58">
        <v>2045</v>
      </c>
      <c r="T127" s="58">
        <v>45</v>
      </c>
      <c r="U127" s="58">
        <v>2.8494000000000006</v>
      </c>
      <c r="V127" s="58">
        <v>2.8494000000000006</v>
      </c>
      <c r="W127" s="58">
        <v>2.7496428249910685</v>
      </c>
      <c r="X127" s="59">
        <v>53296</v>
      </c>
      <c r="Y127" s="58">
        <v>2045</v>
      </c>
    </row>
    <row r="128" spans="1:25" x14ac:dyDescent="0.2">
      <c r="A128" s="58" t="s">
        <v>312</v>
      </c>
      <c r="B128" s="58" t="s">
        <v>389</v>
      </c>
      <c r="C128" s="58" t="s">
        <v>158</v>
      </c>
      <c r="D128" s="58" t="s">
        <v>158</v>
      </c>
      <c r="E128" s="58" t="s">
        <v>24</v>
      </c>
      <c r="F128" s="59">
        <v>45992</v>
      </c>
      <c r="G128" s="58">
        <v>2025</v>
      </c>
      <c r="H128" s="58">
        <v>20</v>
      </c>
      <c r="I128" s="58">
        <v>0.4</v>
      </c>
      <c r="J128" s="58">
        <f t="shared" si="4"/>
        <v>8</v>
      </c>
      <c r="K128" s="58">
        <v>2416.8253968253971</v>
      </c>
      <c r="L128" s="58">
        <v>19.334603174603178</v>
      </c>
      <c r="M128" s="58">
        <v>0.10790865454771144</v>
      </c>
      <c r="N128" s="58">
        <v>2.0863710147853394</v>
      </c>
      <c r="O128" s="58" t="s">
        <v>122</v>
      </c>
      <c r="P128" s="58">
        <v>55</v>
      </c>
      <c r="Q128" s="58">
        <v>1.0634031746031749</v>
      </c>
      <c r="R128" s="58">
        <v>0.11475040581319366</v>
      </c>
      <c r="S128" s="58">
        <v>2045</v>
      </c>
      <c r="T128" s="58">
        <v>55</v>
      </c>
      <c r="U128" s="58">
        <v>1.0634031746031749</v>
      </c>
      <c r="V128" s="58">
        <v>1.0634031746031749</v>
      </c>
      <c r="W128" s="58">
        <v>0.94865276878998106</v>
      </c>
      <c r="X128" s="59">
        <v>53296</v>
      </c>
      <c r="Y128" s="58">
        <v>2045</v>
      </c>
    </row>
  </sheetData>
  <autoFilter ref="A1:AD128" xr:uid="{93012A0F-1FF3-48E0-A8D6-9A26FA885DFB}">
    <sortState xmlns:xlrd2="http://schemas.microsoft.com/office/spreadsheetml/2017/richdata2" ref="A2:AD109">
      <sortCondition ref="B1:B1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B27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ColWidth="11.42578125" defaultRowHeight="15" x14ac:dyDescent="0.25"/>
  <cols>
    <col min="1" max="1" width="2" customWidth="1"/>
    <col min="2" max="2" width="27.85546875" style="4" customWidth="1"/>
    <col min="3" max="3" width="32.85546875" style="4" customWidth="1"/>
    <col min="4" max="4" width="15.85546875" style="4" customWidth="1"/>
    <col min="5" max="5" width="16.5703125" style="4" customWidth="1"/>
    <col min="6" max="6" width="11.42578125" style="4"/>
    <col min="7" max="7" width="22.5703125" style="4" customWidth="1"/>
    <col min="8" max="10" width="11.42578125" style="4" customWidth="1"/>
    <col min="11" max="11" width="11" style="4" customWidth="1"/>
    <col min="12" max="12" width="8.7109375" style="4" customWidth="1"/>
    <col min="13" max="13" width="8.42578125" style="4" customWidth="1"/>
    <col min="14" max="14" width="9.28515625" style="4" customWidth="1"/>
    <col min="15" max="15" width="8.140625" style="4" customWidth="1"/>
    <col min="16" max="16" width="11.5703125" style="4" customWidth="1"/>
    <col min="17" max="17" width="8.140625" style="4" customWidth="1"/>
    <col min="18" max="18" width="10.7109375" style="4" customWidth="1"/>
    <col min="19" max="19" width="9.7109375" style="4" customWidth="1"/>
    <col min="20" max="20" width="11.7109375" style="4" customWidth="1"/>
    <col min="21" max="21" width="22.85546875" style="4" customWidth="1"/>
    <col min="22" max="22" width="51.42578125" style="4" customWidth="1"/>
    <col min="23" max="24" width="11.42578125" style="4"/>
    <col min="25" max="25" width="28.28515625" customWidth="1"/>
    <col min="26" max="26" width="20.5703125" customWidth="1"/>
    <col min="27" max="27" width="16" customWidth="1"/>
    <col min="28" max="28" width="27.28515625" customWidth="1"/>
  </cols>
  <sheetData>
    <row r="1" spans="2:28" ht="15.75" thickBot="1" x14ac:dyDescent="0.3">
      <c r="B1" s="13">
        <v>1</v>
      </c>
      <c r="C1" s="13">
        <f>B1+1</f>
        <v>2</v>
      </c>
      <c r="D1" s="13">
        <f t="shared" ref="D1:K1" si="0">C1+1</f>
        <v>3</v>
      </c>
      <c r="E1" s="13">
        <f t="shared" si="0"/>
        <v>4</v>
      </c>
      <c r="F1" s="14">
        <f t="shared" si="0"/>
        <v>5</v>
      </c>
      <c r="G1" s="14">
        <f t="shared" ref="G1" si="1">F1+1</f>
        <v>6</v>
      </c>
      <c r="H1" s="14">
        <f t="shared" ref="H1" si="2">G1+1</f>
        <v>7</v>
      </c>
      <c r="I1" s="14">
        <f t="shared" si="0"/>
        <v>8</v>
      </c>
      <c r="J1" s="14">
        <f t="shared" si="0"/>
        <v>9</v>
      </c>
      <c r="K1" s="14">
        <f t="shared" si="0"/>
        <v>10</v>
      </c>
      <c r="L1" s="14">
        <f t="shared" ref="L1:M1" si="3">K1+1</f>
        <v>11</v>
      </c>
      <c r="M1" s="14">
        <f t="shared" si="3"/>
        <v>12</v>
      </c>
      <c r="N1" s="13">
        <f>M1+1</f>
        <v>13</v>
      </c>
      <c r="O1" s="13">
        <f t="shared" ref="O1" si="4">N1+1</f>
        <v>14</v>
      </c>
      <c r="P1" s="14">
        <f t="shared" ref="P1" si="5">O1+1</f>
        <v>15</v>
      </c>
      <c r="Q1" s="14">
        <f t="shared" ref="Q1" si="6">P1+1</f>
        <v>16</v>
      </c>
      <c r="R1" s="14">
        <f t="shared" ref="R1" si="7">Q1+1</f>
        <v>17</v>
      </c>
      <c r="S1" s="14">
        <f t="shared" ref="S1" si="8">R1+1</f>
        <v>18</v>
      </c>
      <c r="T1" s="14">
        <f t="shared" ref="T1" si="9">S1+1</f>
        <v>19</v>
      </c>
      <c r="U1" s="14">
        <f t="shared" ref="U1" si="10">T1+1</f>
        <v>20</v>
      </c>
      <c r="V1" s="14">
        <f t="shared" ref="V1" si="11">U1+1</f>
        <v>21</v>
      </c>
      <c r="W1" s="14">
        <f t="shared" ref="W1" si="12">V1+1</f>
        <v>22</v>
      </c>
      <c r="X1" s="14">
        <f t="shared" ref="X1" si="13">W1+1</f>
        <v>23</v>
      </c>
    </row>
    <row r="2" spans="2:28" ht="29.45" customHeight="1" thickBot="1" x14ac:dyDescent="0.3">
      <c r="B2" s="5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163</v>
      </c>
      <c r="Z2" s="7" t="s">
        <v>173</v>
      </c>
      <c r="AA2" s="48" t="s">
        <v>166</v>
      </c>
    </row>
    <row r="3" spans="2:28" x14ac:dyDescent="0.25">
      <c r="B3" s="3" t="s">
        <v>23</v>
      </c>
      <c r="C3" s="3" t="str">
        <f>B3</f>
        <v>Avignonet 1</v>
      </c>
      <c r="D3" s="3" t="s">
        <v>24</v>
      </c>
      <c r="E3" s="12">
        <v>37561</v>
      </c>
      <c r="F3" s="3">
        <f t="shared" ref="F3:F34" si="14">YEAR(E3)</f>
        <v>2002</v>
      </c>
      <c r="G3" s="3">
        <v>8</v>
      </c>
      <c r="H3" s="16">
        <f t="shared" ref="H3:H9" si="15">IF($F3&lt;=2021,100%,IF($F3=2022,80%,IF($F3=2023,70%,IF($F3=2024,50%,40%))))</f>
        <v>1</v>
      </c>
      <c r="I3" s="3">
        <f t="shared" ref="I3:I34" si="16">G3*H3</f>
        <v>8</v>
      </c>
      <c r="J3" s="2">
        <f>VLOOKUP($C3,'Prod. et Profil'!$C:$R,'Prod. et Profil'!$E$1,FALSE)</f>
        <v>2125</v>
      </c>
      <c r="K3" s="8">
        <f>I3*J3/1000</f>
        <v>17</v>
      </c>
      <c r="L3" s="16">
        <f>1-VLOOKUP($C3,'Prod. et Profil'!$C:$AR,INDEX('Prod. et Profil'!$AF$1:$AQ$3,1,MONTH($E3)),FALSE)+_xlfn.DAYS(EOMONTH($E3,0),$E3)/DAY(EOMONTH($E3,0))*VLOOKUP($C3,'Prod. et Profil'!$C:$AR,INDEX('Prod. et Profil'!$T$1:$AE$3,1,MONTH($E3)),FALSE)</f>
        <v>0.18136868823529412</v>
      </c>
      <c r="M3" s="28">
        <f t="shared" ref="M3:M34" si="17">L3*K3</f>
        <v>3.0832676999999999</v>
      </c>
      <c r="N3" s="2" t="s">
        <v>25</v>
      </c>
      <c r="O3" s="35">
        <f>O6</f>
        <v>98.4</v>
      </c>
      <c r="P3" s="8">
        <f t="shared" ref="P3:P34" si="18">IF($N3="Off","Off",O3*K3/1000)</f>
        <v>1.6728000000000003</v>
      </c>
      <c r="Q3" s="8">
        <f t="shared" ref="Q3:Q34" si="19">IF($N3="Off","Off",O3*M3/1000)</f>
        <v>0.30339354167999999</v>
      </c>
      <c r="R3" s="3">
        <f t="shared" ref="R3:R34" si="20">IF($N3="Off",$F3,$F3+IF(AND($D3="Eolien",OR($N3="FiT",$N3="CR16")),10,20))</f>
        <v>2012</v>
      </c>
      <c r="S3" s="5">
        <f t="shared" ref="S3:S34" si="21">IF($N3="Off","Off",IF(AND($D3="Eolien",OR($N3="FiT",$N3="CR16")),IF(J3&lt;=2400,$O3,IF(AND(J3&gt;2400,J3&lt;=2800),((($O3-68)/(2400-2800))*J3)+(((2400*68)-(2800*$O3))/(2400-2800)),IF(AND(J3&gt;2800,J3&lt;=3600),(((68-28)/(2800-3600))*J3)+(((2800*28)-(3600*68))/(2800-3600)),28))),$O3))</f>
        <v>98.4</v>
      </c>
      <c r="T3" s="8">
        <f t="shared" ref="T3:T34" si="22">IF($N3="Off","Off",S3*K3/1000)</f>
        <v>1.6728000000000003</v>
      </c>
      <c r="U3" s="8">
        <f t="shared" ref="U3:U34" si="23">IF($N3="Off","Off",((1-L3)*O3+L3*S3)*K3/1000)</f>
        <v>1.6728000000000003</v>
      </c>
      <c r="V3" s="8">
        <f t="shared" ref="V3:V34" si="24">IF($N3="Off","Off",S3*(K3-M3)/1000)</f>
        <v>1.3694064583199999</v>
      </c>
      <c r="W3" s="44">
        <f t="shared" ref="W3:W6" si="25">IF($N3="Off",$E3,EDATE(E3,IF(AND($D3="Eolien",OR($N3="FiT",$N3="CR16")),15*12,20*12))-1)</f>
        <v>43039</v>
      </c>
      <c r="X3" s="3">
        <f t="shared" ref="X3:X34" si="26">YEAR(W3)</f>
        <v>2017</v>
      </c>
      <c r="Y3" t="s">
        <v>164</v>
      </c>
    </row>
    <row r="4" spans="2:28" x14ac:dyDescent="0.25">
      <c r="B4" s="35" t="s">
        <v>26</v>
      </c>
      <c r="C4" s="3" t="str">
        <f>B4</f>
        <v xml:space="preserve">Chépy </v>
      </c>
      <c r="D4" s="3" t="s">
        <v>24</v>
      </c>
      <c r="E4" s="12">
        <v>37936</v>
      </c>
      <c r="F4" s="3">
        <f t="shared" si="14"/>
        <v>2003</v>
      </c>
      <c r="G4" s="3">
        <v>4</v>
      </c>
      <c r="H4" s="16">
        <f t="shared" si="15"/>
        <v>1</v>
      </c>
      <c r="I4" s="3">
        <f t="shared" si="16"/>
        <v>4</v>
      </c>
      <c r="J4" s="2">
        <f>VLOOKUP($C4,'Prod. et Profil'!$C:$R,'Prod. et Profil'!$E$1,FALSE)</f>
        <v>1475</v>
      </c>
      <c r="K4" s="8">
        <f t="shared" ref="K4:K34" si="27">I4*J4/1000</f>
        <v>5.9</v>
      </c>
      <c r="L4" s="16">
        <f>1-VLOOKUP($C4,'Prod. et Profil'!$C:$AR,INDEX('Prod. et Profil'!$AF$1:$AQ$3,1,MONTH($E4)),FALSE)+_xlfn.DAYS(EOMONTH($E4,0),$E4)/DAY(EOMONTH($E4,0))*VLOOKUP($C4,'Prod. et Profil'!$C:$AR,INDEX('Prod. et Profil'!$T$1:$AE$3,1,MONTH($E4)),FALSE)</f>
        <v>0.19086530789874492</v>
      </c>
      <c r="M4" s="28">
        <f t="shared" si="17"/>
        <v>1.1261053166025952</v>
      </c>
      <c r="N4" s="2" t="s">
        <v>25</v>
      </c>
      <c r="O4" s="35">
        <f>O6</f>
        <v>98.4</v>
      </c>
      <c r="P4" s="8">
        <f t="shared" si="18"/>
        <v>0.58056000000000008</v>
      </c>
      <c r="Q4" s="8">
        <f t="shared" si="19"/>
        <v>0.11080876315369537</v>
      </c>
      <c r="R4" s="3">
        <f t="shared" si="20"/>
        <v>2013</v>
      </c>
      <c r="S4" s="5">
        <f t="shared" si="21"/>
        <v>98.4</v>
      </c>
      <c r="T4" s="8">
        <f t="shared" si="22"/>
        <v>0.58056000000000008</v>
      </c>
      <c r="U4" s="8">
        <f t="shared" si="23"/>
        <v>0.58056000000000008</v>
      </c>
      <c r="V4" s="8">
        <f t="shared" si="24"/>
        <v>0.46975123684630465</v>
      </c>
      <c r="W4" s="44">
        <f t="shared" si="25"/>
        <v>43414</v>
      </c>
      <c r="X4" s="3">
        <f t="shared" si="26"/>
        <v>2018</v>
      </c>
      <c r="Y4" t="s">
        <v>164</v>
      </c>
      <c r="AA4">
        <v>2028</v>
      </c>
      <c r="AB4" t="s">
        <v>172</v>
      </c>
    </row>
    <row r="5" spans="2:28" x14ac:dyDescent="0.25">
      <c r="B5" s="35" t="s">
        <v>27</v>
      </c>
      <c r="C5" s="3" t="str">
        <f>B5</f>
        <v xml:space="preserve">Nibas </v>
      </c>
      <c r="D5" s="3" t="s">
        <v>24</v>
      </c>
      <c r="E5" s="12">
        <v>38343</v>
      </c>
      <c r="F5" s="3">
        <f t="shared" si="14"/>
        <v>2004</v>
      </c>
      <c r="G5" s="3">
        <v>12</v>
      </c>
      <c r="H5" s="16">
        <f t="shared" si="15"/>
        <v>1</v>
      </c>
      <c r="I5" s="3">
        <f t="shared" si="16"/>
        <v>12</v>
      </c>
      <c r="J5" s="2">
        <f>VLOOKUP($C5,'Prod. et Profil'!$C:$R,'Prod. et Profil'!$E$1,FALSE)</f>
        <v>1475</v>
      </c>
      <c r="K5" s="8">
        <f t="shared" si="27"/>
        <v>17.7</v>
      </c>
      <c r="L5" s="16">
        <f>1-VLOOKUP($C5,'Prod. et Profil'!$C:$AR,INDEX('Prod. et Profil'!$AF$1:$AQ$3,1,MONTH($E5)),FALSE)+_xlfn.DAYS(EOMONTH($E5,0),$E5)/DAY(EOMONTH($E5,0))*VLOOKUP($C5,'Prod. et Profil'!$C:$AR,INDEX('Prod. et Profil'!$T$1:$AE$3,1,MONTH($E5)),FALSE)</f>
        <v>3.6138017954705504E-2</v>
      </c>
      <c r="M5" s="28">
        <f t="shared" si="17"/>
        <v>0.63964291779828741</v>
      </c>
      <c r="N5" s="2" t="s">
        <v>25</v>
      </c>
      <c r="O5" s="35">
        <f>O6</f>
        <v>98.4</v>
      </c>
      <c r="P5" s="8">
        <f t="shared" si="18"/>
        <v>1.7416800000000001</v>
      </c>
      <c r="Q5" s="8">
        <f t="shared" si="19"/>
        <v>6.2940863111351483E-2</v>
      </c>
      <c r="R5" s="3">
        <f t="shared" si="20"/>
        <v>2014</v>
      </c>
      <c r="S5" s="5">
        <f t="shared" si="21"/>
        <v>98.4</v>
      </c>
      <c r="T5" s="8">
        <f t="shared" si="22"/>
        <v>1.7416800000000001</v>
      </c>
      <c r="U5" s="8">
        <f t="shared" si="23"/>
        <v>1.7416800000000001</v>
      </c>
      <c r="V5" s="8">
        <f t="shared" si="24"/>
        <v>1.6787391368886486</v>
      </c>
      <c r="W5" s="44">
        <f t="shared" si="25"/>
        <v>43820</v>
      </c>
      <c r="X5" s="3">
        <f t="shared" si="26"/>
        <v>2019</v>
      </c>
      <c r="Y5" t="s">
        <v>164</v>
      </c>
      <c r="AA5">
        <v>2028</v>
      </c>
      <c r="AB5" t="s">
        <v>172</v>
      </c>
    </row>
    <row r="6" spans="2:28" x14ac:dyDescent="0.25">
      <c r="B6" s="3" t="s">
        <v>28</v>
      </c>
      <c r="C6" s="3" t="str">
        <f>B6</f>
        <v>Bougainville</v>
      </c>
      <c r="D6" s="3" t="s">
        <v>24</v>
      </c>
      <c r="E6" s="12">
        <v>38632</v>
      </c>
      <c r="F6" s="3">
        <f t="shared" si="14"/>
        <v>2005</v>
      </c>
      <c r="G6" s="5">
        <v>12</v>
      </c>
      <c r="H6" s="16">
        <f t="shared" si="15"/>
        <v>1</v>
      </c>
      <c r="I6" s="5">
        <f t="shared" si="16"/>
        <v>12</v>
      </c>
      <c r="J6" s="2">
        <f>VLOOKUP($C6,'Prod. et Profil'!$C:$R,'Prod. et Profil'!$E$1,FALSE)</f>
        <v>1558.3332499999997</v>
      </c>
      <c r="K6" s="8">
        <f t="shared" si="27"/>
        <v>18.699998999999995</v>
      </c>
      <c r="L6" s="16">
        <f>1-VLOOKUP($C6,'Prod. et Profil'!$C:$AR,INDEX('Prod. et Profil'!$AF$1:$AQ$3,1,MONTH($E6)),FALSE)+_xlfn.DAYS(EOMONTH($E6,0),$E6)/DAY(EOMONTH($E6,0))*VLOOKUP($C6,'Prod. et Profil'!$C:$AR,INDEX('Prod. et Profil'!$T$1:$AE$3,1,MONTH($E6)),FALSE)</f>
        <v>0.28917761249699148</v>
      </c>
      <c r="M6" s="28">
        <f t="shared" si="17"/>
        <v>5.4076210645161265</v>
      </c>
      <c r="N6" s="2" t="s">
        <v>25</v>
      </c>
      <c r="O6" s="3">
        <v>98.4</v>
      </c>
      <c r="P6" s="8">
        <f t="shared" si="18"/>
        <v>1.8400799015999996</v>
      </c>
      <c r="Q6" s="8">
        <f t="shared" si="19"/>
        <v>0.53210991274838682</v>
      </c>
      <c r="R6" s="3">
        <f t="shared" si="20"/>
        <v>2015</v>
      </c>
      <c r="S6" s="5">
        <f t="shared" si="21"/>
        <v>98.4</v>
      </c>
      <c r="T6" s="8">
        <f t="shared" si="22"/>
        <v>1.8400799015999996</v>
      </c>
      <c r="U6" s="8">
        <f t="shared" si="23"/>
        <v>1.8400799015999996</v>
      </c>
      <c r="V6" s="8">
        <f t="shared" si="24"/>
        <v>1.3079699888516128</v>
      </c>
      <c r="W6" s="44">
        <f t="shared" si="25"/>
        <v>44110</v>
      </c>
      <c r="X6" s="3">
        <f t="shared" si="26"/>
        <v>2020</v>
      </c>
      <c r="Y6" t="s">
        <v>165</v>
      </c>
      <c r="Z6" t="s">
        <v>175</v>
      </c>
    </row>
    <row r="7" spans="2:28" x14ac:dyDescent="0.25">
      <c r="B7" s="3" t="s">
        <v>29</v>
      </c>
      <c r="C7" s="3" t="s">
        <v>30</v>
      </c>
      <c r="D7" s="3" t="s">
        <v>24</v>
      </c>
      <c r="E7" s="12">
        <v>38711</v>
      </c>
      <c r="F7" s="3">
        <f t="shared" si="14"/>
        <v>2005</v>
      </c>
      <c r="G7" s="3">
        <v>39</v>
      </c>
      <c r="H7" s="16">
        <f t="shared" si="15"/>
        <v>1</v>
      </c>
      <c r="I7" s="3">
        <f t="shared" si="16"/>
        <v>39</v>
      </c>
      <c r="J7" s="2">
        <f>VLOOKUP($C7,'Prod. et Profil'!$C:$R,'Prod. et Profil'!$E$1,FALSE)</f>
        <v>1715.3846410256408</v>
      </c>
      <c r="K7" s="8">
        <f t="shared" si="27"/>
        <v>66.900000999999989</v>
      </c>
      <c r="L7" s="16">
        <f>1-VLOOKUP($C7,'Prod. et Profil'!$C:$AR,INDEX('Prod. et Profil'!$AF$1:$AQ$3,1,MONTH($E7)),FALSE)+_xlfn.DAYS(EOMONTH($E7,0),$E7)/DAY(EOMONTH($E7,0))*VLOOKUP($C7,'Prod. et Profil'!$C:$AR,INDEX('Prod. et Profil'!$T$1:$AE$3,1,MONTH($E7)),FALSE)</f>
        <v>2.2728430153535952E-2</v>
      </c>
      <c r="M7" s="28">
        <f t="shared" si="17"/>
        <v>1.5205319999999851</v>
      </c>
      <c r="N7" s="2" t="s">
        <v>25</v>
      </c>
      <c r="O7" s="3">
        <v>99.7</v>
      </c>
      <c r="P7" s="8">
        <f t="shared" si="18"/>
        <v>6.6699300996999993</v>
      </c>
      <c r="Q7" s="8">
        <f t="shared" si="19"/>
        <v>0.15159704039999852</v>
      </c>
      <c r="R7" s="3">
        <f t="shared" si="20"/>
        <v>2015</v>
      </c>
      <c r="S7" s="5">
        <f t="shared" si="21"/>
        <v>99.7</v>
      </c>
      <c r="T7" s="8">
        <f t="shared" si="22"/>
        <v>6.6699300996999993</v>
      </c>
      <c r="U7" s="8">
        <f t="shared" si="23"/>
        <v>6.6699300996999984</v>
      </c>
      <c r="V7" s="8">
        <f t="shared" si="24"/>
        <v>6.5183330592999997</v>
      </c>
      <c r="W7" s="44">
        <f>IF($N7="Off",$E7,EDATE(E7,IF(AND($D7="Eolien",OR($N7="FiT",$N7="CR16")),15*12,20*12))-1)</f>
        <v>44189</v>
      </c>
      <c r="X7" s="3">
        <f t="shared" si="26"/>
        <v>2020</v>
      </c>
      <c r="Y7" t="s">
        <v>165</v>
      </c>
      <c r="Z7" t="s">
        <v>174</v>
      </c>
      <c r="AA7">
        <v>2031</v>
      </c>
      <c r="AB7" t="s">
        <v>167</v>
      </c>
    </row>
    <row r="8" spans="2:28" x14ac:dyDescent="0.25">
      <c r="B8" s="3" t="s">
        <v>31</v>
      </c>
      <c r="C8" s="3" t="s">
        <v>32</v>
      </c>
      <c r="D8" s="3" t="s">
        <v>24</v>
      </c>
      <c r="E8" s="12">
        <v>38711</v>
      </c>
      <c r="F8" s="3">
        <f t="shared" si="14"/>
        <v>2005</v>
      </c>
      <c r="G8" s="3">
        <v>18</v>
      </c>
      <c r="H8" s="16">
        <f t="shared" si="15"/>
        <v>1</v>
      </c>
      <c r="I8" s="3">
        <f t="shared" si="16"/>
        <v>18</v>
      </c>
      <c r="J8" s="2">
        <f>VLOOKUP($C8,'Prod. et Profil'!$C:$R,'Prod. et Profil'!$E$1,FALSE)</f>
        <v>3033.3333333333335</v>
      </c>
      <c r="K8" s="8">
        <f t="shared" si="27"/>
        <v>54.6</v>
      </c>
      <c r="L8" s="16">
        <f>1-VLOOKUP($C8,'Prod. et Profil'!$C:$AR,INDEX('Prod. et Profil'!$AF$1:$AQ$3,1,MONTH($E8)),FALSE)+_xlfn.DAYS(EOMONTH($E8,0),$E8)/DAY(EOMONTH($E8,0))*VLOOKUP($C8,'Prod. et Profil'!$C:$AR,INDEX('Prod. et Profil'!$T$1:$AE$3,1,MONTH($E8)),FALSE)</f>
        <v>1.6306274370790613E-2</v>
      </c>
      <c r="M8" s="28">
        <f t="shared" si="17"/>
        <v>0.89032258064516745</v>
      </c>
      <c r="N8" s="2" t="s">
        <v>25</v>
      </c>
      <c r="O8" s="3">
        <v>56.6</v>
      </c>
      <c r="P8" s="8">
        <f t="shared" si="18"/>
        <v>3.09036</v>
      </c>
      <c r="Q8" s="8">
        <f t="shared" si="19"/>
        <v>5.0392258064516478E-2</v>
      </c>
      <c r="R8" s="3">
        <f t="shared" si="20"/>
        <v>2015</v>
      </c>
      <c r="S8" s="5">
        <f t="shared" si="21"/>
        <v>56.333333333333314</v>
      </c>
      <c r="T8" s="8">
        <f t="shared" si="22"/>
        <v>3.0757999999999992</v>
      </c>
      <c r="U8" s="8">
        <f t="shared" si="23"/>
        <v>3.0901225806451618</v>
      </c>
      <c r="V8" s="8">
        <f t="shared" si="24"/>
        <v>3.025645161290321</v>
      </c>
      <c r="W8" s="44">
        <f t="shared" ref="W8:W71" si="28">IF($N8="Off",$E8,EDATE(E8,IF(AND($D8="Eolien",OR($N8="FiT",$N8="CR16")),15*12,20*12))-1)</f>
        <v>44189</v>
      </c>
      <c r="X8" s="3">
        <f t="shared" si="26"/>
        <v>2020</v>
      </c>
      <c r="Y8" t="s">
        <v>165</v>
      </c>
      <c r="Z8" t="s">
        <v>175</v>
      </c>
    </row>
    <row r="9" spans="2:28" x14ac:dyDescent="0.25">
      <c r="B9" s="31" t="s">
        <v>33</v>
      </c>
      <c r="C9" s="3" t="str">
        <f t="shared" ref="C9:C17" si="29">B9</f>
        <v xml:space="preserve">Plouguin </v>
      </c>
      <c r="D9" s="3" t="s">
        <v>24</v>
      </c>
      <c r="E9" s="12">
        <v>38747</v>
      </c>
      <c r="F9" s="3">
        <f t="shared" si="14"/>
        <v>2006</v>
      </c>
      <c r="G9" s="3">
        <v>8</v>
      </c>
      <c r="H9" s="16">
        <f t="shared" si="15"/>
        <v>1</v>
      </c>
      <c r="I9" s="3">
        <f t="shared" si="16"/>
        <v>8</v>
      </c>
      <c r="J9" s="2">
        <f>VLOOKUP($C9,'Prod. et Profil'!$C:$R,'Prod. et Profil'!$E$1,FALSE)</f>
        <v>2317.6248749999995</v>
      </c>
      <c r="K9" s="8">
        <f t="shared" si="27"/>
        <v>18.540998999999996</v>
      </c>
      <c r="L9" s="16">
        <f>1-VLOOKUP($C9,'Prod. et Profil'!$C:$AR,INDEX('Prod. et Profil'!$AF$1:$AQ$3,1,MONTH($E9)),FALSE)+_xlfn.DAYS(EOMONTH($E9,0),$E9)/DAY(EOMONTH($E9,0))*VLOOKUP($C9,'Prod. et Profil'!$C:$AR,INDEX('Prod. et Profil'!$T$1:$AE$3,1,MONTH($E9)),FALSE)</f>
        <v>0.88446243185257323</v>
      </c>
      <c r="M9" s="28">
        <f t="shared" si="17"/>
        <v>16.398817064516123</v>
      </c>
      <c r="N9" s="2" t="s">
        <v>25</v>
      </c>
      <c r="O9" s="3">
        <v>85.5</v>
      </c>
      <c r="P9" s="8">
        <f t="shared" si="18"/>
        <v>1.5852554144999997</v>
      </c>
      <c r="Q9" s="8">
        <f t="shared" si="19"/>
        <v>1.4020988590161285</v>
      </c>
      <c r="R9" s="3">
        <f t="shared" si="20"/>
        <v>2016</v>
      </c>
      <c r="S9" s="5">
        <f t="shared" si="21"/>
        <v>85.5</v>
      </c>
      <c r="T9" s="8">
        <f t="shared" si="22"/>
        <v>1.5852554144999997</v>
      </c>
      <c r="U9" s="8">
        <f t="shared" si="23"/>
        <v>1.5852554144999997</v>
      </c>
      <c r="V9" s="8">
        <f t="shared" si="24"/>
        <v>0.18315655548387111</v>
      </c>
      <c r="W9" s="44">
        <f t="shared" si="28"/>
        <v>44225</v>
      </c>
      <c r="X9" s="3">
        <f t="shared" si="26"/>
        <v>2021</v>
      </c>
      <c r="Y9" t="s">
        <v>165</v>
      </c>
      <c r="Z9">
        <v>2026</v>
      </c>
    </row>
    <row r="10" spans="2:28" x14ac:dyDescent="0.25">
      <c r="B10" s="3" t="s">
        <v>34</v>
      </c>
      <c r="C10" s="3" t="str">
        <f t="shared" si="29"/>
        <v>Evits et Josaphats</v>
      </c>
      <c r="D10" s="3" t="s">
        <v>24</v>
      </c>
      <c r="E10" s="12">
        <v>38954</v>
      </c>
      <c r="F10" s="3">
        <f t="shared" si="14"/>
        <v>2006</v>
      </c>
      <c r="G10" s="5">
        <v>12</v>
      </c>
      <c r="H10" s="16">
        <f t="shared" ref="H10:H41" si="30">IF(OR($F10&lt;=2021,$G10&lt;0),100%,IF($F10=2022,80%,IF($F10=2023,70%,IF($F10=2024,50%,40%))))</f>
        <v>1</v>
      </c>
      <c r="I10" s="5">
        <f t="shared" si="16"/>
        <v>12</v>
      </c>
      <c r="J10" s="2">
        <f>VLOOKUP($C10,'Prod. et Profil'!$C:$R,'Prod. et Profil'!$E$1,FALSE)</f>
        <v>1958.333333333333</v>
      </c>
      <c r="K10" s="8">
        <f t="shared" si="27"/>
        <v>23.499999999999996</v>
      </c>
      <c r="L10" s="16">
        <f>1-VLOOKUP($C10,'Prod. et Profil'!$C:$AR,INDEX('Prod. et Profil'!$AF$1:$AQ$3,1,MONTH($E10)),FALSE)+_xlfn.DAYS(EOMONTH($E10,0),$E10)/DAY(EOMONTH($E10,0))*VLOOKUP($C10,'Prod. et Profil'!$C:$AR,INDEX('Prod. et Profil'!$T$1:$AE$3,1,MONTH($E10)),FALSE)</f>
        <v>0.37706226355525047</v>
      </c>
      <c r="M10" s="28">
        <f t="shared" si="17"/>
        <v>8.8609631935483844</v>
      </c>
      <c r="N10" s="2" t="s">
        <v>25</v>
      </c>
      <c r="O10" s="3">
        <v>95.1</v>
      </c>
      <c r="P10" s="8">
        <f t="shared" si="18"/>
        <v>2.2348499999999993</v>
      </c>
      <c r="Q10" s="8">
        <f t="shared" si="19"/>
        <v>0.84267759970645129</v>
      </c>
      <c r="R10" s="3">
        <f t="shared" si="20"/>
        <v>2016</v>
      </c>
      <c r="S10" s="5">
        <f t="shared" si="21"/>
        <v>95.1</v>
      </c>
      <c r="T10" s="8">
        <f t="shared" si="22"/>
        <v>2.2348499999999993</v>
      </c>
      <c r="U10" s="8">
        <f t="shared" si="23"/>
        <v>2.2348499999999993</v>
      </c>
      <c r="V10" s="8">
        <f t="shared" si="24"/>
        <v>1.3921724002935483</v>
      </c>
      <c r="W10" s="44">
        <f t="shared" si="28"/>
        <v>44432</v>
      </c>
      <c r="X10" s="3">
        <f t="shared" si="26"/>
        <v>2021</v>
      </c>
      <c r="Y10" t="s">
        <v>165</v>
      </c>
      <c r="Z10" t="s">
        <v>175</v>
      </c>
    </row>
    <row r="11" spans="2:28" x14ac:dyDescent="0.25">
      <c r="B11" s="3" t="s">
        <v>35</v>
      </c>
      <c r="C11" s="3" t="str">
        <f t="shared" si="29"/>
        <v>Remise Reclainville</v>
      </c>
      <c r="D11" s="3" t="s">
        <v>24</v>
      </c>
      <c r="E11" s="12">
        <v>38954</v>
      </c>
      <c r="F11" s="3">
        <f t="shared" si="14"/>
        <v>2006</v>
      </c>
      <c r="G11" s="5">
        <v>12</v>
      </c>
      <c r="H11" s="16">
        <f t="shared" si="30"/>
        <v>1</v>
      </c>
      <c r="I11" s="5">
        <f t="shared" si="16"/>
        <v>12</v>
      </c>
      <c r="J11" s="2">
        <f>VLOOKUP($C11,'Prod. et Profil'!$C:$R,'Prod. et Profil'!$E$1,FALSE)</f>
        <v>1983.3332499999999</v>
      </c>
      <c r="K11" s="8">
        <f t="shared" si="27"/>
        <v>23.799999</v>
      </c>
      <c r="L11" s="16">
        <f>1-VLOOKUP($C11,'Prod. et Profil'!$C:$AR,INDEX('Prod. et Profil'!$AF$1:$AQ$3,1,MONTH($E11)),FALSE)+_xlfn.DAYS(EOMONTH($E11,0),$E11)/DAY(EOMONTH($E11,0))*VLOOKUP($C11,'Prod. et Profil'!$C:$AR,INDEX('Prod. et Profil'!$T$1:$AE$3,1,MONTH($E11)),FALSE)</f>
        <v>0.3766232199448627</v>
      </c>
      <c r="M11" s="28">
        <f t="shared" si="17"/>
        <v>8.9636322580645125</v>
      </c>
      <c r="N11" s="2" t="s">
        <v>25</v>
      </c>
      <c r="O11" s="3">
        <f>O10</f>
        <v>95.1</v>
      </c>
      <c r="P11" s="8">
        <f t="shared" si="18"/>
        <v>2.2633799048999999</v>
      </c>
      <c r="Q11" s="8">
        <f t="shared" si="19"/>
        <v>0.8524414277419351</v>
      </c>
      <c r="R11" s="3">
        <f t="shared" si="20"/>
        <v>2016</v>
      </c>
      <c r="S11" s="5">
        <f t="shared" si="21"/>
        <v>95.1</v>
      </c>
      <c r="T11" s="8">
        <f t="shared" si="22"/>
        <v>2.2633799048999999</v>
      </c>
      <c r="U11" s="8">
        <f t="shared" si="23"/>
        <v>2.2633799048999999</v>
      </c>
      <c r="V11" s="8">
        <f t="shared" si="24"/>
        <v>1.4109384771580646</v>
      </c>
      <c r="W11" s="44">
        <f t="shared" si="28"/>
        <v>44432</v>
      </c>
      <c r="X11" s="3">
        <f t="shared" si="26"/>
        <v>2021</v>
      </c>
      <c r="Y11" t="s">
        <v>165</v>
      </c>
      <c r="Z11" t="s">
        <v>175</v>
      </c>
    </row>
    <row r="12" spans="2:28" x14ac:dyDescent="0.25">
      <c r="B12" s="3" t="s">
        <v>36</v>
      </c>
      <c r="C12" s="3" t="str">
        <f t="shared" si="29"/>
        <v xml:space="preserve">La Citadelle </v>
      </c>
      <c r="D12" s="3" t="s">
        <v>24</v>
      </c>
      <c r="E12" s="12">
        <v>39278</v>
      </c>
      <c r="F12" s="3">
        <f t="shared" si="14"/>
        <v>2007</v>
      </c>
      <c r="G12" s="3">
        <v>13.8</v>
      </c>
      <c r="H12" s="16">
        <f t="shared" si="30"/>
        <v>1</v>
      </c>
      <c r="I12" s="3">
        <f t="shared" si="16"/>
        <v>13.8</v>
      </c>
      <c r="J12" s="2">
        <f>VLOOKUP($C12,'Prod. et Profil'!$C:$R,'Prod. et Profil'!$E$1,FALSE)</f>
        <v>2144.9274637681156</v>
      </c>
      <c r="K12" s="8">
        <f t="shared" si="27"/>
        <v>29.599998999999997</v>
      </c>
      <c r="L12" s="16">
        <f>1-VLOOKUP($C12,'Prod. et Profil'!$C:$AR,INDEX('Prod. et Profil'!$AF$1:$AQ$3,1,MONTH($E12)),FALSE)+_xlfn.DAYS(EOMONTH($E12,0),$E12)/DAY(EOMONTH($E12,0))*VLOOKUP($C12,'Prod. et Profil'!$C:$AR,INDEX('Prod. et Profil'!$T$1:$AE$3,1,MONTH($E12)),FALSE)</f>
        <v>0.44405224582129427</v>
      </c>
      <c r="M12" s="28">
        <f t="shared" si="17"/>
        <v>13.143946032258063</v>
      </c>
      <c r="N12" s="2" t="s">
        <v>25</v>
      </c>
      <c r="O12" s="3">
        <v>95.3</v>
      </c>
      <c r="P12" s="8">
        <f t="shared" si="18"/>
        <v>2.8208799046999999</v>
      </c>
      <c r="Q12" s="8">
        <f t="shared" si="19"/>
        <v>1.2526180568741934</v>
      </c>
      <c r="R12" s="3">
        <f t="shared" si="20"/>
        <v>2017</v>
      </c>
      <c r="S12" s="5">
        <f t="shared" si="21"/>
        <v>95.3</v>
      </c>
      <c r="T12" s="8">
        <f t="shared" si="22"/>
        <v>2.8208799046999999</v>
      </c>
      <c r="U12" s="8">
        <f t="shared" si="23"/>
        <v>2.8208799046999995</v>
      </c>
      <c r="V12" s="8">
        <f t="shared" si="24"/>
        <v>1.5682618478258061</v>
      </c>
      <c r="W12" s="44">
        <f t="shared" si="28"/>
        <v>44756</v>
      </c>
      <c r="X12" s="3">
        <f t="shared" si="26"/>
        <v>2022</v>
      </c>
      <c r="Y12" t="s">
        <v>165</v>
      </c>
      <c r="Z12" t="s">
        <v>168</v>
      </c>
    </row>
    <row r="13" spans="2:28" x14ac:dyDescent="0.25">
      <c r="B13" s="3" t="s">
        <v>37</v>
      </c>
      <c r="C13" s="3" t="str">
        <f t="shared" si="29"/>
        <v>Maurienne / Gourgançon</v>
      </c>
      <c r="D13" s="3" t="s">
        <v>24</v>
      </c>
      <c r="E13" s="12">
        <v>39326</v>
      </c>
      <c r="F13" s="3">
        <f t="shared" si="14"/>
        <v>2007</v>
      </c>
      <c r="G13" s="5">
        <v>12</v>
      </c>
      <c r="H13" s="16">
        <f t="shared" si="30"/>
        <v>1</v>
      </c>
      <c r="I13" s="5">
        <f t="shared" si="16"/>
        <v>12</v>
      </c>
      <c r="J13" s="2">
        <f>VLOOKUP($C13,'Prod. et Profil'!$C:$R,'Prod. et Profil'!$E$1,FALSE)</f>
        <v>1800.0000833333334</v>
      </c>
      <c r="K13" s="8">
        <f t="shared" si="27"/>
        <v>21.600000999999999</v>
      </c>
      <c r="L13" s="16">
        <f>1-VLOOKUP($C13,'Prod. et Profil'!$C:$AR,INDEX('Prod. et Profil'!$AF$1:$AQ$3,1,MONTH($E13)),FALSE)+_xlfn.DAYS(EOMONTH($E13,0),$E13)/DAY(EOMONTH($E13,0))*VLOOKUP($C13,'Prod. et Profil'!$C:$AR,INDEX('Prod. et Profil'!$T$1:$AE$3,1,MONTH($E13)),FALSE)</f>
        <v>0.36282123320272069</v>
      </c>
      <c r="M13" s="28">
        <f t="shared" si="17"/>
        <v>7.8369390000000001</v>
      </c>
      <c r="N13" s="2" t="s">
        <v>25</v>
      </c>
      <c r="O13" s="3">
        <v>95.2</v>
      </c>
      <c r="P13" s="8">
        <f t="shared" si="18"/>
        <v>2.0563200951999998</v>
      </c>
      <c r="Q13" s="8">
        <f t="shared" si="19"/>
        <v>0.74607659280000005</v>
      </c>
      <c r="R13" s="3">
        <f t="shared" si="20"/>
        <v>2017</v>
      </c>
      <c r="S13" s="5">
        <f t="shared" si="21"/>
        <v>95.2</v>
      </c>
      <c r="T13" s="8">
        <f t="shared" si="22"/>
        <v>2.0563200951999998</v>
      </c>
      <c r="U13" s="8">
        <f t="shared" si="23"/>
        <v>2.0563200951999998</v>
      </c>
      <c r="V13" s="8">
        <f t="shared" si="24"/>
        <v>1.3102435023999999</v>
      </c>
      <c r="W13" s="44">
        <f t="shared" si="28"/>
        <v>44804</v>
      </c>
      <c r="X13" s="3">
        <f t="shared" si="26"/>
        <v>2022</v>
      </c>
      <c r="Y13" t="s">
        <v>165</v>
      </c>
      <c r="Z13" t="s">
        <v>175</v>
      </c>
    </row>
    <row r="14" spans="2:28" x14ac:dyDescent="0.25">
      <c r="B14" s="31" t="s">
        <v>38</v>
      </c>
      <c r="C14" s="3" t="str">
        <f t="shared" si="29"/>
        <v>Fond de la Plaine</v>
      </c>
      <c r="D14" s="3" t="s">
        <v>24</v>
      </c>
      <c r="E14" s="12">
        <v>39359</v>
      </c>
      <c r="F14" s="3">
        <f t="shared" si="14"/>
        <v>2007</v>
      </c>
      <c r="G14" s="5">
        <v>4</v>
      </c>
      <c r="H14" s="16">
        <f t="shared" si="30"/>
        <v>1</v>
      </c>
      <c r="I14" s="5">
        <f t="shared" si="16"/>
        <v>4</v>
      </c>
      <c r="J14" s="2">
        <f>VLOOKUP($C14,'Prod. et Profil'!$C:$R,'Prod. et Profil'!$E$1,FALSE)</f>
        <v>2257.5</v>
      </c>
      <c r="K14" s="8">
        <f t="shared" si="27"/>
        <v>9.0299999999999994</v>
      </c>
      <c r="L14" s="16">
        <f>1-VLOOKUP($C14,'Prod. et Profil'!$C:$AR,INDEX('Prod. et Profil'!$AF$1:$AQ$3,1,MONTH($E14)),FALSE)+_xlfn.DAYS(EOMONTH($E14,0),$E14)/DAY(EOMONTH($E14,0))*VLOOKUP($C14,'Prod. et Profil'!$C:$AR,INDEX('Prod. et Profil'!$T$1:$AE$3,1,MONTH($E14)),FALSE)</f>
        <v>0.25075095916836354</v>
      </c>
      <c r="M14" s="28">
        <f t="shared" si="17"/>
        <v>2.2642811612903224</v>
      </c>
      <c r="N14" s="2" t="s">
        <v>25</v>
      </c>
      <c r="O14" s="3">
        <v>94.8</v>
      </c>
      <c r="P14" s="8">
        <f t="shared" si="18"/>
        <v>0.85604399999999992</v>
      </c>
      <c r="Q14" s="8">
        <f t="shared" si="19"/>
        <v>0.21465385409032256</v>
      </c>
      <c r="R14" s="3">
        <f t="shared" si="20"/>
        <v>2017</v>
      </c>
      <c r="S14" s="5">
        <f t="shared" si="21"/>
        <v>94.8</v>
      </c>
      <c r="T14" s="8">
        <f t="shared" si="22"/>
        <v>0.85604399999999992</v>
      </c>
      <c r="U14" s="8">
        <f t="shared" si="23"/>
        <v>0.85604399999999992</v>
      </c>
      <c r="V14" s="8">
        <f t="shared" si="24"/>
        <v>0.64139014590967736</v>
      </c>
      <c r="W14" s="44">
        <f t="shared" si="28"/>
        <v>44837</v>
      </c>
      <c r="X14" s="3">
        <f t="shared" si="26"/>
        <v>2022</v>
      </c>
      <c r="Y14" t="s">
        <v>165</v>
      </c>
      <c r="Z14" t="s">
        <v>169</v>
      </c>
    </row>
    <row r="15" spans="2:28" x14ac:dyDescent="0.25">
      <c r="B15" s="3" t="s">
        <v>39</v>
      </c>
      <c r="C15" s="3" t="str">
        <f t="shared" si="29"/>
        <v>Les Moulins de Boulay</v>
      </c>
      <c r="D15" s="3" t="s">
        <v>24</v>
      </c>
      <c r="E15" s="12">
        <v>39418</v>
      </c>
      <c r="F15" s="3">
        <f t="shared" si="14"/>
        <v>2007</v>
      </c>
      <c r="G15" s="5">
        <v>10</v>
      </c>
      <c r="H15" s="16">
        <f t="shared" si="30"/>
        <v>1</v>
      </c>
      <c r="I15" s="5">
        <f t="shared" si="16"/>
        <v>10</v>
      </c>
      <c r="J15" s="2">
        <f>VLOOKUP($C15,'Prod. et Profil'!$C:$R,'Prod. et Profil'!$E$1,FALSE)</f>
        <v>1697.9999</v>
      </c>
      <c r="K15" s="8">
        <f t="shared" si="27"/>
        <v>16.979998999999999</v>
      </c>
      <c r="L15" s="16">
        <f>1-VLOOKUP($C15,'Prod. et Profil'!$C:$AR,INDEX('Prod. et Profil'!$AF$1:$AQ$3,1,MONTH($E15)),FALSE)+_xlfn.DAYS(EOMONTH($E15,0),$E15)/DAY(EOMONTH($E15,0))*VLOOKUP($C15,'Prod. et Profil'!$C:$AR,INDEX('Prod. et Profil'!$T$1:$AE$3,1,MONTH($E15)),FALSE)</f>
        <v>0.10909389866999288</v>
      </c>
      <c r="M15" s="28">
        <f t="shared" si="17"/>
        <v>1.8524142903225802</v>
      </c>
      <c r="N15" s="2" t="s">
        <v>25</v>
      </c>
      <c r="O15" s="3">
        <v>94.7</v>
      </c>
      <c r="P15" s="8">
        <f t="shared" si="18"/>
        <v>1.6080059053</v>
      </c>
      <c r="Q15" s="8">
        <f t="shared" si="19"/>
        <v>0.17542363329354838</v>
      </c>
      <c r="R15" s="3">
        <f t="shared" si="20"/>
        <v>2017</v>
      </c>
      <c r="S15" s="5">
        <f t="shared" si="21"/>
        <v>94.7</v>
      </c>
      <c r="T15" s="8">
        <f t="shared" si="22"/>
        <v>1.6080059053</v>
      </c>
      <c r="U15" s="8">
        <f t="shared" si="23"/>
        <v>1.6080059053</v>
      </c>
      <c r="V15" s="8">
        <f t="shared" si="24"/>
        <v>1.4325822720064516</v>
      </c>
      <c r="W15" s="44">
        <f t="shared" si="28"/>
        <v>44896</v>
      </c>
      <c r="X15" s="3">
        <f t="shared" si="26"/>
        <v>2022</v>
      </c>
      <c r="Y15" t="s">
        <v>165</v>
      </c>
      <c r="Z15" s="47" t="s">
        <v>176</v>
      </c>
      <c r="AA15">
        <v>2035</v>
      </c>
    </row>
    <row r="16" spans="2:28" x14ac:dyDescent="0.25">
      <c r="B16" s="35" t="s">
        <v>40</v>
      </c>
      <c r="C16" s="3" t="str">
        <f t="shared" si="29"/>
        <v>Coat Conval</v>
      </c>
      <c r="D16" s="3" t="s">
        <v>24</v>
      </c>
      <c r="E16" s="12">
        <v>39507</v>
      </c>
      <c r="F16" s="3">
        <f t="shared" si="14"/>
        <v>2008</v>
      </c>
      <c r="G16" s="3">
        <v>8.1</v>
      </c>
      <c r="H16" s="16">
        <f t="shared" si="30"/>
        <v>1</v>
      </c>
      <c r="I16" s="3">
        <f t="shared" si="16"/>
        <v>8.1</v>
      </c>
      <c r="J16" s="2">
        <f>VLOOKUP($C16,'Prod. et Profil'!$C:$R,'Prod. et Profil'!$E$1,FALSE)</f>
        <v>1148.1482716049384</v>
      </c>
      <c r="K16" s="8">
        <f t="shared" si="27"/>
        <v>9.300001</v>
      </c>
      <c r="L16" s="16">
        <f>1-VLOOKUP($C16,'Prod. et Profil'!$C:$AR,INDEX('Prod. et Profil'!$AF$1:$AQ$3,1,MONTH($E16)),FALSE)+_xlfn.DAYS(EOMONTH($E16,0),$E16)/DAY(EOMONTH($E16,0))*VLOOKUP($C16,'Prod. et Profil'!$C:$AR,INDEX('Prod. et Profil'!$T$1:$AE$3,1,MONTH($E16)),FALSE)</f>
        <v>0.75242357500821777</v>
      </c>
      <c r="M16" s="28">
        <f t="shared" si="17"/>
        <v>6.9975399999999999</v>
      </c>
      <c r="N16" s="2" t="s">
        <v>25</v>
      </c>
      <c r="O16" s="3">
        <v>94.2</v>
      </c>
      <c r="P16" s="8">
        <f t="shared" si="18"/>
        <v>0.87606009419999997</v>
      </c>
      <c r="Q16" s="8">
        <f t="shared" si="19"/>
        <v>0.65916826800000006</v>
      </c>
      <c r="R16" s="3">
        <f t="shared" si="20"/>
        <v>2018</v>
      </c>
      <c r="S16" s="5">
        <f t="shared" si="21"/>
        <v>94.2</v>
      </c>
      <c r="T16" s="8">
        <f t="shared" si="22"/>
        <v>0.87606009419999997</v>
      </c>
      <c r="U16" s="8">
        <f t="shared" si="23"/>
        <v>0.87606009419999997</v>
      </c>
      <c r="V16" s="8">
        <f t="shared" si="24"/>
        <v>0.21689182620000003</v>
      </c>
      <c r="W16" s="44">
        <f t="shared" si="28"/>
        <v>44984</v>
      </c>
      <c r="X16" s="3">
        <f t="shared" si="26"/>
        <v>2023</v>
      </c>
      <c r="Y16" t="s">
        <v>164</v>
      </c>
      <c r="AA16">
        <v>2037</v>
      </c>
    </row>
    <row r="17" spans="1:28" x14ac:dyDescent="0.25">
      <c r="B17" s="3" t="s">
        <v>41</v>
      </c>
      <c r="C17" s="3" t="str">
        <f t="shared" si="29"/>
        <v>Saint-André</v>
      </c>
      <c r="D17" s="3" t="s">
        <v>24</v>
      </c>
      <c r="E17" s="12">
        <v>39553</v>
      </c>
      <c r="F17" s="3">
        <f t="shared" si="14"/>
        <v>2008</v>
      </c>
      <c r="G17" s="5">
        <v>11.5</v>
      </c>
      <c r="H17" s="16">
        <f t="shared" si="30"/>
        <v>1</v>
      </c>
      <c r="I17" s="5">
        <f t="shared" si="16"/>
        <v>11.5</v>
      </c>
      <c r="J17" s="2">
        <f>VLOOKUP($C17,'Prod. et Profil'!$C:$R,'Prod. et Profil'!$E$1,FALSE)</f>
        <v>1765.2173043478265</v>
      </c>
      <c r="K17" s="8">
        <f t="shared" si="27"/>
        <v>20.299999000000003</v>
      </c>
      <c r="L17" s="16">
        <f>1-VLOOKUP($C17,'Prod. et Profil'!$C:$AR,INDEX('Prod. et Profil'!$AF$1:$AQ$3,1,MONTH($E17)),FALSE)+_xlfn.DAYS(EOMONTH($E17,0),$E17)/DAY(EOMONTH($E17,0))*VLOOKUP($C17,'Prod. et Profil'!$C:$AR,INDEX('Prod. et Profil'!$T$1:$AE$3,1,MONTH($E17)),FALSE)</f>
        <v>0.64798621418651314</v>
      </c>
      <c r="M17" s="28">
        <f t="shared" si="17"/>
        <v>13.154119500000006</v>
      </c>
      <c r="N17" s="2" t="s">
        <v>25</v>
      </c>
      <c r="O17" s="3">
        <v>93.9</v>
      </c>
      <c r="P17" s="8">
        <f t="shared" si="18"/>
        <v>1.9061699061000004</v>
      </c>
      <c r="Q17" s="8">
        <f t="shared" si="19"/>
        <v>1.2351718210500005</v>
      </c>
      <c r="R17" s="3">
        <f t="shared" si="20"/>
        <v>2018</v>
      </c>
      <c r="S17" s="5">
        <f t="shared" si="21"/>
        <v>93.9</v>
      </c>
      <c r="T17" s="8">
        <f t="shared" si="22"/>
        <v>1.9061699061000004</v>
      </c>
      <c r="U17" s="8">
        <f t="shared" si="23"/>
        <v>1.9061699061000004</v>
      </c>
      <c r="V17" s="8">
        <f t="shared" si="24"/>
        <v>0.67099808504999991</v>
      </c>
      <c r="W17" s="44">
        <f t="shared" si="28"/>
        <v>45030</v>
      </c>
      <c r="X17" s="3">
        <f t="shared" si="26"/>
        <v>2023</v>
      </c>
      <c r="Y17" t="s">
        <v>165</v>
      </c>
      <c r="Z17">
        <v>2026</v>
      </c>
    </row>
    <row r="18" spans="1:28" x14ac:dyDescent="0.25">
      <c r="B18" s="35" t="s">
        <v>42</v>
      </c>
      <c r="C18" s="3" t="s">
        <v>42</v>
      </c>
      <c r="D18" s="3" t="s">
        <v>24</v>
      </c>
      <c r="E18" s="12">
        <v>39811</v>
      </c>
      <c r="F18" s="3">
        <f t="shared" si="14"/>
        <v>2008</v>
      </c>
      <c r="G18" s="3">
        <v>4.5999999999999996</v>
      </c>
      <c r="H18" s="16">
        <f t="shared" si="30"/>
        <v>1</v>
      </c>
      <c r="I18" s="3">
        <f t="shared" si="16"/>
        <v>4.5999999999999996</v>
      </c>
      <c r="J18" s="2">
        <f>VLOOKUP($C18,'Prod. et Profil'!$C:$R,'Prod. et Profil'!$E$1,FALSE)</f>
        <v>2304.347826086957</v>
      </c>
      <c r="K18" s="8">
        <f t="shared" si="27"/>
        <v>10.600000000000001</v>
      </c>
      <c r="L18" s="16">
        <f>1-VLOOKUP($C18,'Prod. et Profil'!$C:$AR,INDEX('Prod. et Profil'!$AF$1:$AQ$3,1,MONTH($E18)),FALSE)+_xlfn.DAYS(EOMONTH($E18,0),$E18)/DAY(EOMONTH($E18,0))*VLOOKUP($C18,'Prod. et Profil'!$C:$AR,INDEX('Prod. et Profil'!$T$1:$AE$3,1,MONTH($E18)),FALSE)</f>
        <v>6.0157455873403407E-3</v>
      </c>
      <c r="M18" s="28">
        <f t="shared" si="17"/>
        <v>6.3766903225807622E-2</v>
      </c>
      <c r="N18" s="2" t="s">
        <v>25</v>
      </c>
      <c r="O18" s="3">
        <v>91.9</v>
      </c>
      <c r="P18" s="8">
        <f t="shared" si="18"/>
        <v>0.97414000000000023</v>
      </c>
      <c r="Q18" s="8">
        <f t="shared" si="19"/>
        <v>5.860178406451721E-3</v>
      </c>
      <c r="R18" s="3">
        <f t="shared" si="20"/>
        <v>2018</v>
      </c>
      <c r="S18" s="5">
        <f t="shared" si="21"/>
        <v>91.9</v>
      </c>
      <c r="T18" s="8">
        <f t="shared" si="22"/>
        <v>0.97414000000000023</v>
      </c>
      <c r="U18" s="8">
        <f t="shared" si="23"/>
        <v>0.97414000000000023</v>
      </c>
      <c r="V18" s="8">
        <f t="shared" si="24"/>
        <v>0.96827982159354842</v>
      </c>
      <c r="W18" s="44">
        <f>IF($N18="Off",$E18,EDATE(E18,IF(AND($D18="Eolien",OR($N18="FiT",$N18="CR16")),15*12,20*12))-1)</f>
        <v>45288</v>
      </c>
      <c r="X18" s="3">
        <f t="shared" si="26"/>
        <v>2023</v>
      </c>
      <c r="Y18" t="s">
        <v>164</v>
      </c>
      <c r="AA18">
        <v>2030</v>
      </c>
    </row>
    <row r="19" spans="1:28" x14ac:dyDescent="0.25">
      <c r="A19" s="1"/>
      <c r="B19" s="35" t="s">
        <v>43</v>
      </c>
      <c r="C19" s="3" t="str">
        <f>B19</f>
        <v>Liegn ar Gasprenn</v>
      </c>
      <c r="D19" s="3" t="s">
        <v>24</v>
      </c>
      <c r="E19" s="12">
        <v>39813</v>
      </c>
      <c r="F19" s="3">
        <f t="shared" si="14"/>
        <v>2008</v>
      </c>
      <c r="G19" s="3">
        <v>8</v>
      </c>
      <c r="H19" s="16">
        <f t="shared" si="30"/>
        <v>1</v>
      </c>
      <c r="I19" s="3">
        <f t="shared" si="16"/>
        <v>8</v>
      </c>
      <c r="J19" s="2">
        <f>VLOOKUP($C19,'Prod. et Profil'!$C:$R,'Prod. et Profil'!$E$1,FALSE)</f>
        <v>1775.0001249999998</v>
      </c>
      <c r="K19" s="8">
        <f t="shared" si="27"/>
        <v>14.200000999999999</v>
      </c>
      <c r="L19" s="16">
        <f>1-VLOOKUP($C19,'Prod. et Profil'!$C:$AR,INDEX('Prod. et Profil'!$AF$1:$AQ$3,1,MONTH($E19)),FALSE)+_xlfn.DAYS(EOMONTH($E19,0),$E19)/DAY(EOMONTH($E19,0))*VLOOKUP($C19,'Prod. et Profil'!$C:$AR,INDEX('Prod. et Profil'!$T$1:$AE$3,1,MONTH($E19)),FALSE)</f>
        <v>0</v>
      </c>
      <c r="M19" s="28">
        <f t="shared" si="17"/>
        <v>0</v>
      </c>
      <c r="N19" s="2" t="s">
        <v>25</v>
      </c>
      <c r="O19" s="3">
        <f>O18</f>
        <v>91.9</v>
      </c>
      <c r="P19" s="8">
        <f t="shared" si="18"/>
        <v>1.3049800918999999</v>
      </c>
      <c r="Q19" s="8">
        <f t="shared" si="19"/>
        <v>0</v>
      </c>
      <c r="R19" s="3">
        <f t="shared" si="20"/>
        <v>2018</v>
      </c>
      <c r="S19" s="5">
        <f t="shared" si="21"/>
        <v>91.9</v>
      </c>
      <c r="T19" s="8">
        <f t="shared" si="22"/>
        <v>1.3049800918999999</v>
      </c>
      <c r="U19" s="8">
        <f t="shared" si="23"/>
        <v>1.3049800918999999</v>
      </c>
      <c r="V19" s="8">
        <f t="shared" si="24"/>
        <v>1.3049800918999999</v>
      </c>
      <c r="W19" s="44">
        <f t="shared" si="28"/>
        <v>45290</v>
      </c>
      <c r="X19" s="3">
        <f t="shared" si="26"/>
        <v>2023</v>
      </c>
      <c r="Y19" t="s">
        <v>164</v>
      </c>
      <c r="AA19">
        <v>2034</v>
      </c>
    </row>
    <row r="20" spans="1:28" x14ac:dyDescent="0.25">
      <c r="B20" s="35" t="s">
        <v>44</v>
      </c>
      <c r="C20" s="3" t="str">
        <f>B20</f>
        <v>Les Eparmonts</v>
      </c>
      <c r="D20" s="3" t="s">
        <v>24</v>
      </c>
      <c r="E20" s="12">
        <v>39813</v>
      </c>
      <c r="F20" s="3">
        <f t="shared" si="14"/>
        <v>2008</v>
      </c>
      <c r="G20" s="3">
        <v>12</v>
      </c>
      <c r="H20" s="16">
        <f t="shared" si="30"/>
        <v>1</v>
      </c>
      <c r="I20" s="3">
        <f t="shared" si="16"/>
        <v>12</v>
      </c>
      <c r="J20" s="2">
        <f>VLOOKUP($C20,'Prod. et Profil'!$C:$R,'Prod. et Profil'!$E$1,FALSE)</f>
        <v>1669.1666666666667</v>
      </c>
      <c r="K20" s="8">
        <f t="shared" si="27"/>
        <v>20.03</v>
      </c>
      <c r="L20" s="16">
        <f>1-VLOOKUP($C20,'Prod. et Profil'!$C:$AR,INDEX('Prod. et Profil'!$AF$1:$AQ$3,1,MONTH($E20)),FALSE)+_xlfn.DAYS(EOMONTH($E20,0),$E20)/DAY(EOMONTH($E20,0))*VLOOKUP($C20,'Prod. et Profil'!$C:$AR,INDEX('Prod. et Profil'!$T$1:$AE$3,1,MONTH($E20)),FALSE)</f>
        <v>-2.2204460492503131E-16</v>
      </c>
      <c r="M20" s="28">
        <f t="shared" si="17"/>
        <v>-4.4475534366483774E-15</v>
      </c>
      <c r="N20" s="2" t="s">
        <v>25</v>
      </c>
      <c r="O20" s="3">
        <f>O19</f>
        <v>91.9</v>
      </c>
      <c r="P20" s="8">
        <f t="shared" si="18"/>
        <v>1.8407570000000002</v>
      </c>
      <c r="Q20" s="8">
        <f t="shared" si="19"/>
        <v>-4.087301608279859E-16</v>
      </c>
      <c r="R20" s="3">
        <f t="shared" si="20"/>
        <v>2018</v>
      </c>
      <c r="S20" s="5">
        <f t="shared" si="21"/>
        <v>91.9</v>
      </c>
      <c r="T20" s="8">
        <f t="shared" si="22"/>
        <v>1.8407570000000002</v>
      </c>
      <c r="U20" s="8">
        <f t="shared" si="23"/>
        <v>1.8407570000000002</v>
      </c>
      <c r="V20" s="8">
        <f t="shared" si="24"/>
        <v>1.8407570000000004</v>
      </c>
      <c r="W20" s="44">
        <f t="shared" si="28"/>
        <v>45290</v>
      </c>
      <c r="X20" s="3">
        <f t="shared" si="26"/>
        <v>2023</v>
      </c>
      <c r="Y20" t="s">
        <v>177</v>
      </c>
      <c r="Z20">
        <v>2024</v>
      </c>
      <c r="AA20">
        <v>2033</v>
      </c>
    </row>
    <row r="21" spans="1:28" x14ac:dyDescent="0.25">
      <c r="B21" s="35" t="s">
        <v>45</v>
      </c>
      <c r="C21" s="3" t="str">
        <f>B21</f>
        <v>Bassigny</v>
      </c>
      <c r="D21" s="3" t="s">
        <v>24</v>
      </c>
      <c r="E21" s="12">
        <v>39825</v>
      </c>
      <c r="F21" s="3">
        <f t="shared" si="14"/>
        <v>2009</v>
      </c>
      <c r="G21" s="5">
        <v>12</v>
      </c>
      <c r="H21" s="16">
        <f t="shared" si="30"/>
        <v>1</v>
      </c>
      <c r="I21" s="5">
        <f t="shared" si="16"/>
        <v>12</v>
      </c>
      <c r="J21" s="2">
        <f>VLOOKUP($C21,'Prod. et Profil'!$C:$R,'Prod. et Profil'!$E$1,FALSE)</f>
        <v>1710.0000016666665</v>
      </c>
      <c r="K21" s="8">
        <f t="shared" si="27"/>
        <v>20.520000020000001</v>
      </c>
      <c r="L21" s="16">
        <f>1-VLOOKUP($C21,'Prod. et Profil'!$C:$AR,INDEX('Prod. et Profil'!$AF$1:$AQ$3,1,MONTH($E21)),FALSE)+_xlfn.DAYS(EOMONTH($E21,0),$E21)/DAY(EOMONTH($E21,0))*VLOOKUP($C21,'Prod. et Profil'!$C:$AR,INDEX('Prod. et Profil'!$T$1:$AE$3,1,MONTH($E21)),FALSE)</f>
        <v>0.9574628796868091</v>
      </c>
      <c r="M21" s="28">
        <f t="shared" si="17"/>
        <v>19.647138310322582</v>
      </c>
      <c r="N21" s="2" t="s">
        <v>25</v>
      </c>
      <c r="O21" s="3">
        <f>O20</f>
        <v>91.9</v>
      </c>
      <c r="P21" s="8">
        <f t="shared" si="18"/>
        <v>1.8857880018380002</v>
      </c>
      <c r="Q21" s="8">
        <f t="shared" si="19"/>
        <v>1.8055720107186453</v>
      </c>
      <c r="R21" s="3">
        <f t="shared" si="20"/>
        <v>2019</v>
      </c>
      <c r="S21" s="5">
        <f t="shared" si="21"/>
        <v>91.9</v>
      </c>
      <c r="T21" s="8">
        <f t="shared" si="22"/>
        <v>1.8857880018380002</v>
      </c>
      <c r="U21" s="8">
        <f t="shared" si="23"/>
        <v>1.8857880018380002</v>
      </c>
      <c r="V21" s="8">
        <f t="shared" si="24"/>
        <v>8.0215991119354846E-2</v>
      </c>
      <c r="W21" s="44">
        <f t="shared" si="28"/>
        <v>45302</v>
      </c>
      <c r="X21" s="3">
        <f t="shared" si="26"/>
        <v>2024</v>
      </c>
      <c r="Y21" t="s">
        <v>164</v>
      </c>
      <c r="AA21">
        <v>2034</v>
      </c>
    </row>
    <row r="22" spans="1:28" x14ac:dyDescent="0.25">
      <c r="B22" s="3" t="s">
        <v>46</v>
      </c>
      <c r="C22" s="3" t="str">
        <f>B22</f>
        <v>Vaux des Roques</v>
      </c>
      <c r="D22" s="3" t="s">
        <v>24</v>
      </c>
      <c r="E22" s="12">
        <v>39966</v>
      </c>
      <c r="F22" s="3">
        <f t="shared" si="14"/>
        <v>2009</v>
      </c>
      <c r="G22" s="5">
        <v>8</v>
      </c>
      <c r="H22" s="16">
        <f>IF(OR($F22&lt;=2021,$G22&lt;0),100%,IF($F22=2022,80%,IF($F22=2023,70%,IF($F22=2024,50%,40%))))</f>
        <v>1</v>
      </c>
      <c r="I22" s="5">
        <f t="shared" si="16"/>
        <v>8</v>
      </c>
      <c r="J22" s="2">
        <f>VLOOKUP($C22,'Prod. et Profil'!$C:$R,'Prod. et Profil'!$E$1,FALSE)</f>
        <v>2164.999875</v>
      </c>
      <c r="K22" s="8">
        <f t="shared" si="27"/>
        <v>17.319998999999999</v>
      </c>
      <c r="L22" s="16">
        <f>1-VLOOKUP($C22,'Prod. et Profil'!$C:$AR,INDEX('Prod. et Profil'!$AF$1:$AQ$3,1,MONTH($E22)),FALSE)+_xlfn.DAYS(EOMONTH($E22,0),$E22)/DAY(EOMONTH($E22,0))*VLOOKUP($C22,'Prod. et Profil'!$C:$AR,INDEX('Prod. et Profil'!$T$1:$AE$3,1,MONTH($E22)),FALSE)</f>
        <v>0.5331102501795757</v>
      </c>
      <c r="M22" s="28">
        <f t="shared" si="17"/>
        <v>9.2334690000000013</v>
      </c>
      <c r="N22" s="2" t="s">
        <v>25</v>
      </c>
      <c r="O22" s="3">
        <v>95.9</v>
      </c>
      <c r="P22" s="8">
        <f t="shared" si="18"/>
        <v>1.6609879041</v>
      </c>
      <c r="Q22" s="8">
        <f t="shared" si="19"/>
        <v>0.88548967710000026</v>
      </c>
      <c r="R22" s="3">
        <f t="shared" si="20"/>
        <v>2019</v>
      </c>
      <c r="S22" s="5">
        <f t="shared" si="21"/>
        <v>95.9</v>
      </c>
      <c r="T22" s="8">
        <f t="shared" si="22"/>
        <v>1.6609879041</v>
      </c>
      <c r="U22" s="8">
        <f t="shared" si="23"/>
        <v>1.6609879041</v>
      </c>
      <c r="V22" s="8">
        <f t="shared" si="24"/>
        <v>0.77549822699999982</v>
      </c>
      <c r="W22" s="44">
        <f t="shared" si="28"/>
        <v>45444</v>
      </c>
      <c r="X22" s="3">
        <f t="shared" si="26"/>
        <v>2024</v>
      </c>
      <c r="Y22" t="s">
        <v>165</v>
      </c>
      <c r="Z22" t="s">
        <v>168</v>
      </c>
    </row>
    <row r="23" spans="1:28" x14ac:dyDescent="0.25">
      <c r="B23" s="3" t="s">
        <v>47</v>
      </c>
      <c r="C23" s="3" t="s">
        <v>48</v>
      </c>
      <c r="D23" s="3" t="s">
        <v>24</v>
      </c>
      <c r="E23" s="12">
        <v>39995</v>
      </c>
      <c r="F23" s="3">
        <f t="shared" si="14"/>
        <v>2009</v>
      </c>
      <c r="G23" s="3">
        <v>9.1999999999999993</v>
      </c>
      <c r="H23" s="16">
        <f t="shared" si="30"/>
        <v>1</v>
      </c>
      <c r="I23" s="3">
        <f t="shared" si="16"/>
        <v>9.1999999999999993</v>
      </c>
      <c r="J23" s="2">
        <f>VLOOKUP($C23,'Prod. et Profil'!$C:$R,'Prod. et Profil'!$E$1,FALSE)</f>
        <v>2746.0870144927535</v>
      </c>
      <c r="K23" s="8">
        <f t="shared" si="27"/>
        <v>25.264000533333331</v>
      </c>
      <c r="L23" s="16">
        <f>1-VLOOKUP($C23,'Prod. et Profil'!$C:$AR,INDEX('Prod. et Profil'!$AF$1:$AQ$3,1,MONTH($E23)),FALSE)+_xlfn.DAYS(EOMONTH($E23,0),$E23)/DAY(EOMONTH($E23,0))*VLOOKUP($C23,'Prod. et Profil'!$C:$AR,INDEX('Prod. et Profil'!$T$1:$AE$3,1,MONTH($E23)),FALSE)</f>
        <v>0.48611264066035276</v>
      </c>
      <c r="M23" s="28">
        <f t="shared" si="17"/>
        <v>12.281150012903225</v>
      </c>
      <c r="N23" s="2" t="s">
        <v>25</v>
      </c>
      <c r="O23" s="3">
        <v>92.3</v>
      </c>
      <c r="P23" s="8">
        <f t="shared" si="18"/>
        <v>2.3318672492266663</v>
      </c>
      <c r="Q23" s="8">
        <f t="shared" si="19"/>
        <v>1.1335501461909678</v>
      </c>
      <c r="R23" s="3">
        <f t="shared" si="20"/>
        <v>2019</v>
      </c>
      <c r="S23" s="5">
        <f t="shared" si="21"/>
        <v>71.275213869565249</v>
      </c>
      <c r="T23" s="8">
        <f t="shared" si="22"/>
        <v>1.8006970412141436</v>
      </c>
      <c r="U23" s="8">
        <f t="shared" si="23"/>
        <v>2.07365869676959</v>
      </c>
      <c r="V23" s="8">
        <f t="shared" si="24"/>
        <v>0.92535544748025222</v>
      </c>
      <c r="W23" s="44">
        <f t="shared" si="28"/>
        <v>45473</v>
      </c>
      <c r="X23" s="3">
        <f t="shared" si="26"/>
        <v>2024</v>
      </c>
      <c r="Y23" t="s">
        <v>165</v>
      </c>
      <c r="Z23" t="s">
        <v>178</v>
      </c>
    </row>
    <row r="24" spans="1:28" x14ac:dyDescent="0.25">
      <c r="B24" s="35" t="s">
        <v>49</v>
      </c>
      <c r="C24" s="3" t="str">
        <f>B24</f>
        <v>Plateau de Langres</v>
      </c>
      <c r="D24" s="3" t="s">
        <v>24</v>
      </c>
      <c r="E24" s="12">
        <v>40037</v>
      </c>
      <c r="F24" s="3">
        <f t="shared" si="14"/>
        <v>2009</v>
      </c>
      <c r="G24" s="5">
        <v>12</v>
      </c>
      <c r="H24" s="16">
        <f t="shared" si="30"/>
        <v>1</v>
      </c>
      <c r="I24" s="5">
        <f t="shared" si="16"/>
        <v>12</v>
      </c>
      <c r="J24" s="2">
        <f>VLOOKUP($C24,'Prod. et Profil'!$C:$R,'Prod. et Profil'!$E$1,FALSE)</f>
        <v>1551.6666666666667</v>
      </c>
      <c r="K24" s="8">
        <f t="shared" si="27"/>
        <v>18.62</v>
      </c>
      <c r="L24" s="16">
        <f>1-VLOOKUP($C24,'Prod. et Profil'!$C:$AR,INDEX('Prod. et Profil'!$AF$1:$AQ$3,1,MONTH($E24)),FALSE)+_xlfn.DAYS(EOMONTH($E24,0),$E24)/DAY(EOMONTH($E24,0))*VLOOKUP($C24,'Prod. et Profil'!$C:$AR,INDEX('Prod. et Profil'!$T$1:$AE$3,1,MONTH($E24)),FALSE)</f>
        <v>0.39823742593811734</v>
      </c>
      <c r="M24" s="28">
        <f t="shared" si="17"/>
        <v>7.4151808709677454</v>
      </c>
      <c r="N24" s="2" t="s">
        <v>25</v>
      </c>
      <c r="O24" s="3">
        <v>96.2</v>
      </c>
      <c r="P24" s="8">
        <f t="shared" si="18"/>
        <v>1.7912440000000001</v>
      </c>
      <c r="Q24" s="8">
        <f t="shared" si="19"/>
        <v>0.71334039978709707</v>
      </c>
      <c r="R24" s="3">
        <f t="shared" si="20"/>
        <v>2019</v>
      </c>
      <c r="S24" s="5">
        <f t="shared" si="21"/>
        <v>96.2</v>
      </c>
      <c r="T24" s="8">
        <f t="shared" si="22"/>
        <v>1.7912440000000001</v>
      </c>
      <c r="U24" s="8">
        <f t="shared" si="23"/>
        <v>1.7912440000000001</v>
      </c>
      <c r="V24" s="8">
        <f t="shared" si="24"/>
        <v>1.077903600212903</v>
      </c>
      <c r="W24" s="44">
        <f t="shared" si="28"/>
        <v>45515</v>
      </c>
      <c r="X24" s="3">
        <f t="shared" si="26"/>
        <v>2024</v>
      </c>
      <c r="Y24" t="s">
        <v>164</v>
      </c>
      <c r="AA24">
        <v>2036</v>
      </c>
    </row>
    <row r="25" spans="1:28" x14ac:dyDescent="0.25">
      <c r="B25" s="3" t="s">
        <v>47</v>
      </c>
      <c r="C25" s="3" t="s">
        <v>50</v>
      </c>
      <c r="D25" s="3" t="s">
        <v>24</v>
      </c>
      <c r="E25" s="12">
        <v>40050</v>
      </c>
      <c r="F25" s="3">
        <f t="shared" si="14"/>
        <v>2009</v>
      </c>
      <c r="G25" s="3">
        <v>9.1999999999999993</v>
      </c>
      <c r="H25" s="16">
        <f t="shared" si="30"/>
        <v>1</v>
      </c>
      <c r="I25" s="3">
        <f t="shared" si="16"/>
        <v>9.1999999999999993</v>
      </c>
      <c r="J25" s="2">
        <f>VLOOKUP($C25,'Prod. et Profil'!$C:$R,'Prod. et Profil'!$E$1,FALSE)</f>
        <v>2746.0870144927535</v>
      </c>
      <c r="K25" s="8">
        <f t="shared" si="27"/>
        <v>25.264000533333331</v>
      </c>
      <c r="L25" s="16">
        <f>1-VLOOKUP($C25,'Prod. et Profil'!$C:$AR,INDEX('Prod. et Profil'!$AF$1:$AQ$3,1,MONTH($E25)),FALSE)+_xlfn.DAYS(EOMONTH($E25,0),$E25)/DAY(EOMONTH($E25,0))*VLOOKUP($C25,'Prod. et Profil'!$C:$AR,INDEX('Prod. et Profil'!$T$1:$AE$3,1,MONTH($E25)),FALSE)</f>
        <v>0.38257662746949184</v>
      </c>
      <c r="M25" s="28">
        <f t="shared" si="17"/>
        <v>9.665416120430109</v>
      </c>
      <c r="N25" s="2" t="s">
        <v>25</v>
      </c>
      <c r="O25" s="3">
        <f>O23</f>
        <v>92.3</v>
      </c>
      <c r="P25" s="8">
        <f t="shared" si="18"/>
        <v>2.3318672492266663</v>
      </c>
      <c r="Q25" s="8">
        <f t="shared" si="19"/>
        <v>0.892117907915699</v>
      </c>
      <c r="R25" s="3">
        <f t="shared" si="20"/>
        <v>2019</v>
      </c>
      <c r="S25" s="5">
        <f t="shared" si="21"/>
        <v>71.275213869565249</v>
      </c>
      <c r="T25" s="8">
        <f t="shared" si="22"/>
        <v>1.8006970412141436</v>
      </c>
      <c r="U25" s="8">
        <f t="shared" si="23"/>
        <v>2.1286539424329667</v>
      </c>
      <c r="V25" s="8">
        <f t="shared" si="24"/>
        <v>1.111792440092144</v>
      </c>
      <c r="W25" s="44">
        <f t="shared" si="28"/>
        <v>45528</v>
      </c>
      <c r="X25" s="3">
        <f t="shared" si="26"/>
        <v>2024</v>
      </c>
      <c r="Y25" t="s">
        <v>165</v>
      </c>
      <c r="Z25" t="s">
        <v>178</v>
      </c>
    </row>
    <row r="26" spans="1:28" x14ac:dyDescent="0.25">
      <c r="B26" s="3" t="s">
        <v>47</v>
      </c>
      <c r="C26" s="3" t="s">
        <v>51</v>
      </c>
      <c r="D26" s="3" t="s">
        <v>24</v>
      </c>
      <c r="E26" s="12">
        <v>40074</v>
      </c>
      <c r="F26" s="3">
        <f t="shared" si="14"/>
        <v>2009</v>
      </c>
      <c r="G26" s="3">
        <v>4.5999999999999996</v>
      </c>
      <c r="H26" s="16">
        <f t="shared" si="30"/>
        <v>1</v>
      </c>
      <c r="I26" s="3">
        <f t="shared" si="16"/>
        <v>4.5999999999999996</v>
      </c>
      <c r="J26" s="2">
        <f>VLOOKUP($C26,'Prod. et Profil'!$C:$R,'Prod. et Profil'!$E$1,FALSE)</f>
        <v>2746.0870144927535</v>
      </c>
      <c r="K26" s="8">
        <f t="shared" si="27"/>
        <v>12.632000266666665</v>
      </c>
      <c r="L26" s="16">
        <f>1-VLOOKUP($C26,'Prod. et Profil'!$C:$AR,INDEX('Prod. et Profil'!$AF$1:$AQ$3,1,MONTH($E26)),FALSE)+_xlfn.DAYS(EOMONTH($E26,0),$E26)/DAY(EOMONTH($E26,0))*VLOOKUP($C26,'Prod. et Profil'!$C:$AR,INDEX('Prod. et Profil'!$T$1:$AE$3,1,MONTH($E26)),FALSE)</f>
        <v>0.33035447898766152</v>
      </c>
      <c r="M26" s="28">
        <f t="shared" si="17"/>
        <v>4.1730378666666672</v>
      </c>
      <c r="N26" s="2" t="s">
        <v>25</v>
      </c>
      <c r="O26" s="3">
        <f>O23</f>
        <v>92.3</v>
      </c>
      <c r="P26" s="8">
        <f t="shared" si="18"/>
        <v>1.1659336246133332</v>
      </c>
      <c r="Q26" s="8">
        <f t="shared" si="19"/>
        <v>0.38517139509333337</v>
      </c>
      <c r="R26" s="3">
        <f t="shared" si="20"/>
        <v>2019</v>
      </c>
      <c r="S26" s="5">
        <f t="shared" si="21"/>
        <v>71.275213869565249</v>
      </c>
      <c r="T26" s="8">
        <f t="shared" si="22"/>
        <v>0.90034852060707182</v>
      </c>
      <c r="U26" s="8">
        <f t="shared" si="23"/>
        <v>1.0781963959524608</v>
      </c>
      <c r="V26" s="8">
        <f t="shared" si="24"/>
        <v>0.6029143541746107</v>
      </c>
      <c r="W26" s="44">
        <f t="shared" si="28"/>
        <v>45552</v>
      </c>
      <c r="X26" s="3">
        <f t="shared" si="26"/>
        <v>2024</v>
      </c>
      <c r="Y26" t="s">
        <v>165</v>
      </c>
      <c r="Z26" t="s">
        <v>178</v>
      </c>
    </row>
    <row r="27" spans="1:28" x14ac:dyDescent="0.25">
      <c r="B27" s="3" t="s">
        <v>52</v>
      </c>
      <c r="C27" s="3" t="s">
        <v>53</v>
      </c>
      <c r="D27" s="3" t="s">
        <v>24</v>
      </c>
      <c r="E27" s="12">
        <v>40081</v>
      </c>
      <c r="F27" s="3">
        <f t="shared" si="14"/>
        <v>2009</v>
      </c>
      <c r="G27" s="3">
        <v>10</v>
      </c>
      <c r="H27" s="16">
        <f t="shared" si="30"/>
        <v>1</v>
      </c>
      <c r="I27" s="3">
        <f t="shared" si="16"/>
        <v>10</v>
      </c>
      <c r="J27" s="2">
        <f>VLOOKUP($C27,'Prod. et Profil'!$C:$R,'Prod. et Profil'!$E$1,FALSE)</f>
        <v>2188.8888888888891</v>
      </c>
      <c r="K27" s="8">
        <f t="shared" si="27"/>
        <v>21.888888888888889</v>
      </c>
      <c r="L27" s="16">
        <f>1-VLOOKUP($C27,'Prod. et Profil'!$C:$AR,INDEX('Prod. et Profil'!$AF$1:$AQ$3,1,MONTH($E27)),FALSE)+_xlfn.DAYS(EOMONTH($E27,0),$E27)/DAY(EOMONTH($E27,0))*VLOOKUP($C27,'Prod. et Profil'!$C:$AR,INDEX('Prod. et Profil'!$T$1:$AE$3,1,MONTH($E27)),FALSE)</f>
        <v>0.31412567258883267</v>
      </c>
      <c r="M27" s="28">
        <f t="shared" si="17"/>
        <v>6.8758619444444484</v>
      </c>
      <c r="N27" s="2" t="s">
        <v>25</v>
      </c>
      <c r="O27" s="3">
        <v>96.3</v>
      </c>
      <c r="P27" s="8">
        <f t="shared" si="18"/>
        <v>2.1078999999999999</v>
      </c>
      <c r="Q27" s="8">
        <f t="shared" si="19"/>
        <v>0.66214550525000038</v>
      </c>
      <c r="R27" s="3">
        <f t="shared" si="20"/>
        <v>2019</v>
      </c>
      <c r="S27" s="5">
        <f t="shared" si="21"/>
        <v>96.3</v>
      </c>
      <c r="T27" s="8">
        <f t="shared" si="22"/>
        <v>2.1078999999999999</v>
      </c>
      <c r="U27" s="8">
        <f t="shared" si="23"/>
        <v>2.1078999999999999</v>
      </c>
      <c r="V27" s="8">
        <f t="shared" si="24"/>
        <v>1.4457544947499996</v>
      </c>
      <c r="W27" s="44">
        <f t="shared" si="28"/>
        <v>45559</v>
      </c>
      <c r="X27" s="3">
        <f t="shared" si="26"/>
        <v>2024</v>
      </c>
      <c r="Y27" t="s">
        <v>165</v>
      </c>
      <c r="Z27" t="s">
        <v>169</v>
      </c>
    </row>
    <row r="28" spans="1:28" x14ac:dyDescent="0.25">
      <c r="B28" s="3" t="s">
        <v>54</v>
      </c>
      <c r="C28" s="3" t="s">
        <v>55</v>
      </c>
      <c r="D28" s="3" t="s">
        <v>24</v>
      </c>
      <c r="E28" s="12">
        <v>40095</v>
      </c>
      <c r="F28" s="3">
        <f t="shared" si="14"/>
        <v>2009</v>
      </c>
      <c r="G28" s="3">
        <v>18</v>
      </c>
      <c r="H28" s="16">
        <f t="shared" si="30"/>
        <v>1</v>
      </c>
      <c r="I28" s="3">
        <f t="shared" si="16"/>
        <v>18</v>
      </c>
      <c r="J28" s="2">
        <f>VLOOKUP($C28,'Prod. et Profil'!$C:$R,'Prod. et Profil'!$E$1,FALSE)</f>
        <v>2413.3333336666669</v>
      </c>
      <c r="K28" s="8">
        <f t="shared" si="27"/>
        <v>43.440000006000005</v>
      </c>
      <c r="L28" s="16">
        <f>1-VLOOKUP($C28,'Prod. et Profil'!$C:$AR,INDEX('Prod. et Profil'!$AF$1:$AQ$3,1,MONTH($E28)),FALSE)+_xlfn.DAYS(EOMONTH($E28,0),$E28)/DAY(EOMONTH($E28,0))*VLOOKUP($C28,'Prod. et Profil'!$C:$AR,INDEX('Prod. et Profil'!$T$1:$AE$3,1,MONTH($E28)),FALSE)</f>
        <v>0.28590513018239599</v>
      </c>
      <c r="M28" s="28">
        <f t="shared" si="17"/>
        <v>12.419718856838715</v>
      </c>
      <c r="N28" s="2" t="s">
        <v>25</v>
      </c>
      <c r="O28" s="3">
        <v>96.5</v>
      </c>
      <c r="P28" s="8">
        <f t="shared" si="18"/>
        <v>4.1919600005790008</v>
      </c>
      <c r="Q28" s="8">
        <f t="shared" si="19"/>
        <v>1.198502869684936</v>
      </c>
      <c r="R28" s="3">
        <f t="shared" si="20"/>
        <v>2019</v>
      </c>
      <c r="S28" s="5">
        <f t="shared" si="21"/>
        <v>95.549999976250007</v>
      </c>
      <c r="T28" s="8">
        <f t="shared" si="22"/>
        <v>4.1506919995416007</v>
      </c>
      <c r="U28" s="8">
        <f t="shared" si="23"/>
        <v>4.1801612673700346</v>
      </c>
      <c r="V28" s="8">
        <f t="shared" si="24"/>
        <v>2.96398786306563</v>
      </c>
      <c r="W28" s="44">
        <f t="shared" si="28"/>
        <v>45573</v>
      </c>
      <c r="X28" s="3">
        <f t="shared" si="26"/>
        <v>2024</v>
      </c>
      <c r="Y28" t="s">
        <v>165</v>
      </c>
      <c r="Z28">
        <v>2027</v>
      </c>
      <c r="AB28" t="s">
        <v>170</v>
      </c>
    </row>
    <row r="29" spans="1:28" x14ac:dyDescent="0.25">
      <c r="B29" s="3" t="s">
        <v>56</v>
      </c>
      <c r="C29" s="3" t="s">
        <v>57</v>
      </c>
      <c r="D29" s="3" t="s">
        <v>24</v>
      </c>
      <c r="E29" s="12">
        <v>40149</v>
      </c>
      <c r="F29" s="3">
        <f t="shared" si="14"/>
        <v>2009</v>
      </c>
      <c r="G29" s="3">
        <v>12</v>
      </c>
      <c r="H29" s="16">
        <f t="shared" si="30"/>
        <v>1</v>
      </c>
      <c r="I29" s="3">
        <f t="shared" si="16"/>
        <v>12</v>
      </c>
      <c r="J29" s="2">
        <f>VLOOKUP($C29,'Prod. et Profil'!$C:$R,'Prod. et Profil'!$E$1,FALSE)</f>
        <v>2413.3333336666665</v>
      </c>
      <c r="K29" s="8">
        <f t="shared" si="27"/>
        <v>28.960000003999998</v>
      </c>
      <c r="L29" s="16">
        <f>1-VLOOKUP($C29,'Prod. et Profil'!$C:$AR,INDEX('Prod. et Profil'!$AF$1:$AQ$3,1,MONTH($E29)),FALSE)+_xlfn.DAYS(EOMONTH($E29,0),$E29)/DAY(EOMONTH($E29,0))*VLOOKUP($C29,'Prod. et Profil'!$C:$AR,INDEX('Prod. et Profil'!$T$1:$AE$3,1,MONTH($E29)),FALSE)</f>
        <v>0.11116218132487067</v>
      </c>
      <c r="M29" s="28">
        <f t="shared" si="17"/>
        <v>3.219256771612903</v>
      </c>
      <c r="N29" s="2" t="s">
        <v>25</v>
      </c>
      <c r="O29" s="3">
        <f>O28</f>
        <v>96.5</v>
      </c>
      <c r="P29" s="8">
        <f t="shared" si="18"/>
        <v>2.7946400003859999</v>
      </c>
      <c r="Q29" s="8">
        <f t="shared" si="19"/>
        <v>0.31065827846064514</v>
      </c>
      <c r="R29" s="3">
        <f t="shared" si="20"/>
        <v>2019</v>
      </c>
      <c r="S29" s="5">
        <f t="shared" si="21"/>
        <v>95.549999976250035</v>
      </c>
      <c r="T29" s="8">
        <f t="shared" si="22"/>
        <v>2.7671279996944009</v>
      </c>
      <c r="U29" s="8">
        <f t="shared" si="23"/>
        <v>2.7915817063765105</v>
      </c>
      <c r="V29" s="8">
        <f t="shared" si="24"/>
        <v>2.459528015243245</v>
      </c>
      <c r="W29" s="44">
        <f t="shared" si="28"/>
        <v>45627</v>
      </c>
      <c r="X29" s="3">
        <f t="shared" si="26"/>
        <v>2024</v>
      </c>
      <c r="Y29" t="s">
        <v>165</v>
      </c>
      <c r="Z29">
        <v>2027</v>
      </c>
      <c r="AB29" t="s">
        <v>170</v>
      </c>
    </row>
    <row r="30" spans="1:28" x14ac:dyDescent="0.25">
      <c r="B30" s="3" t="s">
        <v>58</v>
      </c>
      <c r="C30" s="3" t="str">
        <f>B30</f>
        <v>Cham Longe 2</v>
      </c>
      <c r="D30" s="3" t="s">
        <v>24</v>
      </c>
      <c r="E30" s="12">
        <v>40210</v>
      </c>
      <c r="F30" s="3">
        <f t="shared" si="14"/>
        <v>2010</v>
      </c>
      <c r="G30" s="3">
        <v>4.5999999999999996</v>
      </c>
      <c r="H30" s="16">
        <f t="shared" si="30"/>
        <v>1</v>
      </c>
      <c r="I30" s="3">
        <f t="shared" si="16"/>
        <v>4.5999999999999996</v>
      </c>
      <c r="J30" s="2">
        <f>VLOOKUP($C30,'Prod. et Profil'!$C:$R,'Prod. et Profil'!$E$1,FALSE)</f>
        <v>2652.173695652174</v>
      </c>
      <c r="K30" s="8">
        <f t="shared" si="27"/>
        <v>12.199999</v>
      </c>
      <c r="L30" s="16">
        <f>1-VLOOKUP($C30,'Prod. et Profil'!$C:$AR,INDEX('Prod. et Profil'!$AF$1:$AQ$3,1,MONTH($E30)),FALSE)+_xlfn.DAYS(EOMONTH($E30,0),$E30)/DAY(EOMONTH($E30,0))*VLOOKUP($C30,'Prod. et Profil'!$C:$AR,INDEX('Prod. et Profil'!$T$1:$AE$3,1,MONTH($E30)),FALSE)</f>
        <v>0.88636035368293298</v>
      </c>
      <c r="M30" s="28">
        <f t="shared" si="17"/>
        <v>10.813595428571428</v>
      </c>
      <c r="N30" s="2" t="s">
        <v>25</v>
      </c>
      <c r="O30" s="3">
        <f>O29</f>
        <v>96.5</v>
      </c>
      <c r="P30" s="8">
        <f t="shared" si="18"/>
        <v>1.1772999035</v>
      </c>
      <c r="Q30" s="8">
        <f t="shared" si="19"/>
        <v>1.0435119588571429</v>
      </c>
      <c r="R30" s="3">
        <f t="shared" si="20"/>
        <v>2020</v>
      </c>
      <c r="S30" s="5">
        <f t="shared" si="21"/>
        <v>78.532624184782605</v>
      </c>
      <c r="T30" s="8">
        <f t="shared" si="22"/>
        <v>0.95809793652172359</v>
      </c>
      <c r="U30" s="8">
        <f t="shared" si="23"/>
        <v>0.98300797052114031</v>
      </c>
      <c r="V30" s="8">
        <f t="shared" si="24"/>
        <v>0.10887791064344042</v>
      </c>
      <c r="W30" s="44">
        <f t="shared" si="28"/>
        <v>45688</v>
      </c>
      <c r="X30" s="3">
        <f t="shared" si="26"/>
        <v>2025</v>
      </c>
      <c r="Y30" t="s">
        <v>165</v>
      </c>
      <c r="Z30" t="s">
        <v>169</v>
      </c>
    </row>
    <row r="31" spans="1:28" x14ac:dyDescent="0.25">
      <c r="B31" s="3" t="s">
        <v>59</v>
      </c>
      <c r="C31" s="3" t="s">
        <v>60</v>
      </c>
      <c r="D31" s="3" t="s">
        <v>24</v>
      </c>
      <c r="E31" s="12">
        <v>40211</v>
      </c>
      <c r="F31" s="3">
        <f t="shared" si="14"/>
        <v>2010</v>
      </c>
      <c r="G31" s="3">
        <v>11.5</v>
      </c>
      <c r="H31" s="16">
        <f t="shared" si="30"/>
        <v>1</v>
      </c>
      <c r="I31" s="3">
        <f t="shared" si="16"/>
        <v>11.5</v>
      </c>
      <c r="J31" s="2">
        <f>VLOOKUP($C31,'Prod. et Profil'!$C:$R,'Prod. et Profil'!$E$1,FALSE)</f>
        <v>2746.0870144927535</v>
      </c>
      <c r="K31" s="8">
        <f t="shared" si="27"/>
        <v>31.580000666666667</v>
      </c>
      <c r="L31" s="16">
        <f>1-VLOOKUP($C31,'Prod. et Profil'!$C:$AR,INDEX('Prod. et Profil'!$AF$1:$AQ$3,1,MONTH($E31)),FALSE)+_xlfn.DAYS(EOMONTH($E31,0),$E31)/DAY(EOMONTH($E31,0))*VLOOKUP($C31,'Prod. et Profil'!$C:$AR,INDEX('Prod. et Profil'!$T$1:$AE$3,1,MONTH($E31)),FALSE)</f>
        <v>0.87530396234166363</v>
      </c>
      <c r="M31" s="28">
        <f t="shared" si="17"/>
        <v>27.642099714285713</v>
      </c>
      <c r="N31" s="2" t="s">
        <v>25</v>
      </c>
      <c r="O31" s="3">
        <f>O23</f>
        <v>92.3</v>
      </c>
      <c r="P31" s="8">
        <f t="shared" si="18"/>
        <v>2.914834061533333</v>
      </c>
      <c r="Q31" s="8">
        <f t="shared" si="19"/>
        <v>2.5513658036285709</v>
      </c>
      <c r="R31" s="3">
        <f t="shared" si="20"/>
        <v>2020</v>
      </c>
      <c r="S31" s="5">
        <f t="shared" si="21"/>
        <v>71.275213869565249</v>
      </c>
      <c r="T31" s="8">
        <f t="shared" si="22"/>
        <v>2.2508713015176798</v>
      </c>
      <c r="U31" s="8">
        <f t="shared" si="23"/>
        <v>2.3336648268443247</v>
      </c>
      <c r="V31" s="8">
        <f t="shared" si="24"/>
        <v>0.28067473257811715</v>
      </c>
      <c r="W31" s="44">
        <f t="shared" si="28"/>
        <v>45689</v>
      </c>
      <c r="X31" s="3">
        <f t="shared" si="26"/>
        <v>2025</v>
      </c>
      <c r="Y31" t="s">
        <v>165</v>
      </c>
      <c r="Z31" t="s">
        <v>178</v>
      </c>
    </row>
    <row r="32" spans="1:28" x14ac:dyDescent="0.25">
      <c r="B32" s="3" t="s">
        <v>61</v>
      </c>
      <c r="C32" s="3" t="s">
        <v>62</v>
      </c>
      <c r="D32" s="3" t="s">
        <v>24</v>
      </c>
      <c r="E32" s="12">
        <v>40226</v>
      </c>
      <c r="F32" s="3">
        <f t="shared" si="14"/>
        <v>2010</v>
      </c>
      <c r="G32" s="3">
        <v>8</v>
      </c>
      <c r="H32" s="16">
        <f t="shared" si="30"/>
        <v>1</v>
      </c>
      <c r="I32" s="3">
        <f t="shared" si="16"/>
        <v>8</v>
      </c>
      <c r="J32" s="2">
        <f>VLOOKUP($C32,'Prod. et Profil'!$C:$R,'Prod. et Profil'!$E$1,FALSE)</f>
        <v>2188.8888888888891</v>
      </c>
      <c r="K32" s="8">
        <f t="shared" si="27"/>
        <v>17.511111111111113</v>
      </c>
      <c r="L32" s="16">
        <f>1-VLOOKUP($C32,'Prod. et Profil'!$C:$AR,INDEX('Prod. et Profil'!$AF$1:$AQ$3,1,MONTH($E32)),FALSE)+_xlfn.DAYS(EOMONTH($E32,0),$E32)/DAY(EOMONTH($E32,0))*VLOOKUP($C32,'Prod. et Profil'!$C:$AR,INDEX('Prod. et Profil'!$T$1:$AE$3,1,MONTH($E32)),FALSE)</f>
        <v>0.81630849891225532</v>
      </c>
      <c r="M32" s="28">
        <f t="shared" si="17"/>
        <v>14.294468825396828</v>
      </c>
      <c r="N32" s="2" t="s">
        <v>25</v>
      </c>
      <c r="O32" s="3">
        <f>O27</f>
        <v>96.3</v>
      </c>
      <c r="P32" s="8">
        <f t="shared" si="18"/>
        <v>1.6863200000000003</v>
      </c>
      <c r="Q32" s="8">
        <f t="shared" si="19"/>
        <v>1.3765573478857145</v>
      </c>
      <c r="R32" s="3">
        <f t="shared" si="20"/>
        <v>2020</v>
      </c>
      <c r="S32" s="5">
        <f t="shared" si="21"/>
        <v>96.3</v>
      </c>
      <c r="T32" s="8">
        <f t="shared" si="22"/>
        <v>1.6863200000000003</v>
      </c>
      <c r="U32" s="8">
        <f t="shared" si="23"/>
        <v>1.6863200000000003</v>
      </c>
      <c r="V32" s="8">
        <f t="shared" si="24"/>
        <v>0.30976265211428555</v>
      </c>
      <c r="W32" s="44">
        <f t="shared" si="28"/>
        <v>45704</v>
      </c>
      <c r="X32" s="3">
        <f t="shared" si="26"/>
        <v>2025</v>
      </c>
      <c r="Y32" t="s">
        <v>165</v>
      </c>
      <c r="Z32" t="s">
        <v>169</v>
      </c>
    </row>
    <row r="33" spans="2:26" s="49" customFormat="1" x14ac:dyDescent="0.25">
      <c r="B33" s="50" t="s">
        <v>63</v>
      </c>
      <c r="C33" s="50" t="str">
        <f>B33</f>
        <v>La Bouleste</v>
      </c>
      <c r="D33" s="50" t="s">
        <v>24</v>
      </c>
      <c r="E33" s="51">
        <v>40269</v>
      </c>
      <c r="F33" s="50">
        <f t="shared" si="14"/>
        <v>2010</v>
      </c>
      <c r="G33" s="50">
        <v>10</v>
      </c>
      <c r="H33" s="52">
        <f t="shared" si="30"/>
        <v>1</v>
      </c>
      <c r="I33" s="50">
        <f t="shared" si="16"/>
        <v>10</v>
      </c>
      <c r="J33" s="53">
        <f>VLOOKUP($C33,'Prod. et Profil'!$C:$R,'Prod. et Profil'!$E$1,FALSE)</f>
        <v>1602.0000999999997</v>
      </c>
      <c r="K33" s="54">
        <f t="shared" si="27"/>
        <v>16.020000999999997</v>
      </c>
      <c r="L33" s="16">
        <f>1-VLOOKUP($C33,'Prod. et Profil'!$C:$AR,INDEX('Prod. et Profil'!$AF$1:$AQ$3,1,MONTH($E33)),FALSE)+_xlfn.DAYS(EOMONTH($E33,0),$E33)/DAY(EOMONTH($E33,0))*VLOOKUP($C33,'Prod. et Profil'!$C:$AR,INDEX('Prod. et Profil'!$T$1:$AE$3,1,MONTH($E33)),FALSE)</f>
        <v>0.69318712069160715</v>
      </c>
      <c r="M33" s="28">
        <f t="shared" si="17"/>
        <v>11.104858366666665</v>
      </c>
      <c r="N33" s="2" t="s">
        <v>25</v>
      </c>
      <c r="O33" s="3">
        <f>O32</f>
        <v>96.3</v>
      </c>
      <c r="P33" s="8">
        <f t="shared" si="18"/>
        <v>1.5427260962999996</v>
      </c>
      <c r="Q33" s="8">
        <f t="shared" si="19"/>
        <v>1.0693978607099999</v>
      </c>
      <c r="R33" s="3">
        <f t="shared" si="20"/>
        <v>2020</v>
      </c>
      <c r="S33" s="5">
        <f t="shared" si="21"/>
        <v>96.3</v>
      </c>
      <c r="T33" s="8">
        <f t="shared" si="22"/>
        <v>1.5427260962999996</v>
      </c>
      <c r="U33" s="8">
        <f t="shared" si="23"/>
        <v>1.5427260962999996</v>
      </c>
      <c r="V33" s="8">
        <f t="shared" si="24"/>
        <v>0.47332823558999987</v>
      </c>
      <c r="W33" s="55">
        <f t="shared" si="28"/>
        <v>45747</v>
      </c>
      <c r="X33" s="50">
        <f t="shared" si="26"/>
        <v>2025</v>
      </c>
      <c r="Y33" s="49" t="s">
        <v>171</v>
      </c>
    </row>
    <row r="34" spans="2:26" x14ac:dyDescent="0.25">
      <c r="B34" s="3" t="s">
        <v>64</v>
      </c>
      <c r="C34" s="3" t="s">
        <v>65</v>
      </c>
      <c r="D34" s="3" t="s">
        <v>24</v>
      </c>
      <c r="E34" s="12">
        <v>40391</v>
      </c>
      <c r="F34" s="3">
        <f t="shared" si="14"/>
        <v>2010</v>
      </c>
      <c r="G34" s="3">
        <v>18</v>
      </c>
      <c r="H34" s="16">
        <f t="shared" si="30"/>
        <v>1</v>
      </c>
      <c r="I34" s="3">
        <f t="shared" si="16"/>
        <v>18</v>
      </c>
      <c r="J34" s="2">
        <f>VLOOKUP($C34,'Prod. et Profil'!$C:$R,'Prod. et Profil'!$E$1,FALSE)</f>
        <v>2116.6666999999998</v>
      </c>
      <c r="K34" s="8">
        <f t="shared" si="27"/>
        <v>38.100000600000001</v>
      </c>
      <c r="L34" s="16">
        <f>1-VLOOKUP($C34,'Prod. et Profil'!$C:$AR,INDEX('Prod. et Profil'!$AF$1:$AQ$3,1,MONTH($E34)),FALSE)+_xlfn.DAYS(EOMONTH($E34,0),$E34)/DAY(EOMONTH($E34,0))*VLOOKUP($C34,'Prod. et Profil'!$C:$AR,INDEX('Prod. et Profil'!$T$1:$AE$3,1,MONTH($E34)),FALSE)</f>
        <v>0.42677532474979168</v>
      </c>
      <c r="M34" s="28">
        <f t="shared" si="17"/>
        <v>16.260140129032258</v>
      </c>
      <c r="N34" s="2" t="s">
        <v>25</v>
      </c>
      <c r="O34" s="3">
        <v>95.3</v>
      </c>
      <c r="P34" s="8">
        <f t="shared" si="18"/>
        <v>3.6309300571800001</v>
      </c>
      <c r="Q34" s="8">
        <f t="shared" si="19"/>
        <v>1.5495913542967741</v>
      </c>
      <c r="R34" s="3">
        <f t="shared" si="20"/>
        <v>2020</v>
      </c>
      <c r="S34" s="5">
        <f t="shared" si="21"/>
        <v>95.3</v>
      </c>
      <c r="T34" s="8">
        <f t="shared" si="22"/>
        <v>3.6309300571800001</v>
      </c>
      <c r="U34" s="8">
        <f t="shared" si="23"/>
        <v>3.6309300571800005</v>
      </c>
      <c r="V34" s="8">
        <f t="shared" si="24"/>
        <v>2.081338702883226</v>
      </c>
      <c r="W34" s="44">
        <f t="shared" si="28"/>
        <v>45869</v>
      </c>
      <c r="X34" s="3">
        <f t="shared" si="26"/>
        <v>2025</v>
      </c>
      <c r="Y34" t="s">
        <v>165</v>
      </c>
      <c r="Z34">
        <v>2026</v>
      </c>
    </row>
    <row r="35" spans="2:26" x14ac:dyDescent="0.25">
      <c r="B35" s="31" t="s">
        <v>66</v>
      </c>
      <c r="C35" s="3" t="s">
        <v>67</v>
      </c>
      <c r="D35" s="3" t="s">
        <v>24</v>
      </c>
      <c r="E35" s="12">
        <v>40392</v>
      </c>
      <c r="F35" s="3">
        <f t="shared" ref="F35:F66" si="31">YEAR(E35)</f>
        <v>2010</v>
      </c>
      <c r="G35" s="3">
        <v>24</v>
      </c>
      <c r="H35" s="16">
        <f t="shared" si="30"/>
        <v>1</v>
      </c>
      <c r="I35" s="3">
        <f t="shared" ref="I35:I66" si="32">G35*H35</f>
        <v>24</v>
      </c>
      <c r="J35" s="2">
        <f>VLOOKUP($C35,'Prod. et Profil'!$C:$R,'Prod. et Profil'!$E$1,FALSE)</f>
        <v>1757.1428575</v>
      </c>
      <c r="K35" s="8">
        <f t="shared" ref="K35:K66" si="33">I35*J35/1000</f>
        <v>42.171428579999997</v>
      </c>
      <c r="L35" s="16">
        <f>1-VLOOKUP($C35,'Prod. et Profil'!$C:$AR,INDEX('Prod. et Profil'!$AF$1:$AQ$3,1,MONTH($E35)),FALSE)+_xlfn.DAYS(EOMONTH($E35,0),$E35)/DAY(EOMONTH($E35,0))*VLOOKUP($C35,'Prod. et Profil'!$C:$AR,INDEX('Prod. et Profil'!$T$1:$AE$3,1,MONTH($E35)),FALSE)</f>
        <v>0.42183075852952573</v>
      </c>
      <c r="M35" s="28">
        <f t="shared" ref="M35:M66" si="34">L35*K35</f>
        <v>17.789205706175117</v>
      </c>
      <c r="N35" s="2" t="s">
        <v>25</v>
      </c>
      <c r="O35" s="3">
        <v>94.6</v>
      </c>
      <c r="P35" s="8">
        <f t="shared" ref="P35:P66" si="35">IF($N35="Off","Off",O35*K35/1000)</f>
        <v>3.9894171436679993</v>
      </c>
      <c r="Q35" s="8">
        <f t="shared" ref="Q35:Q66" si="36">IF($N35="Off","Off",O35*M35/1000)</f>
        <v>1.6828588598041661</v>
      </c>
      <c r="R35" s="3">
        <f t="shared" ref="R35:R52" si="37">IF($N35="Off",$F35,$F35+IF(AND($D35="Eolien",OR($N35="FiT",$N35="CR16")),10,20))</f>
        <v>2020</v>
      </c>
      <c r="S35" s="5">
        <f t="shared" ref="S35:S66" si="38">IF($N35="Off","Off",IF(AND($D35="Eolien",OR($N35="FiT",$N35="CR16")),IF(J35&lt;=2400,$O35,IF(AND(J35&gt;2400,J35&lt;=2800),((($O35-68)/(2400-2800))*J35)+(((2400*68)-(2800*$O35))/(2400-2800)),IF(AND(J35&gt;2800,J35&lt;=3600),(((68-28)/(2800-3600))*J35)+(((2800*28)-(3600*68))/(2800-3600)),28))),$O35))</f>
        <v>94.6</v>
      </c>
      <c r="T35" s="8">
        <f t="shared" ref="T35:T66" si="39">IF($N35="Off","Off",S35*K35/1000)</f>
        <v>3.9894171436679993</v>
      </c>
      <c r="U35" s="8">
        <f t="shared" ref="U35:U66" si="40">IF($N35="Off","Off",((1-L35)*O35+L35*S35)*K35/1000)</f>
        <v>3.9894171436679993</v>
      </c>
      <c r="V35" s="8">
        <f t="shared" ref="V35:V66" si="41">IF($N35="Off","Off",S35*(K35-M35)/1000)</f>
        <v>2.3065582838638332</v>
      </c>
      <c r="W35" s="44">
        <f t="shared" si="28"/>
        <v>45870</v>
      </c>
      <c r="X35" s="3">
        <f t="shared" ref="X35:X66" si="42">YEAR(W35)</f>
        <v>2025</v>
      </c>
      <c r="Y35" t="s">
        <v>179</v>
      </c>
    </row>
    <row r="36" spans="2:26" x14ac:dyDescent="0.25">
      <c r="B36" s="3" t="s">
        <v>68</v>
      </c>
      <c r="C36" s="3" t="str">
        <f>B36</f>
        <v xml:space="preserve">Chasse Marée </v>
      </c>
      <c r="D36" s="3" t="s">
        <v>24</v>
      </c>
      <c r="E36" s="12">
        <v>40452</v>
      </c>
      <c r="F36" s="3">
        <f t="shared" si="31"/>
        <v>2010</v>
      </c>
      <c r="G36" s="3">
        <v>9.1999999999999993</v>
      </c>
      <c r="H36" s="16">
        <f t="shared" si="30"/>
        <v>1</v>
      </c>
      <c r="I36" s="3">
        <f t="shared" si="32"/>
        <v>9.1999999999999993</v>
      </c>
      <c r="J36" s="2">
        <f>VLOOKUP($C36,'Prod. et Profil'!$C:$R,'Prod. et Profil'!$E$1,FALSE)</f>
        <v>2130.4346739130438</v>
      </c>
      <c r="K36" s="8">
        <f t="shared" si="33"/>
        <v>19.599999</v>
      </c>
      <c r="L36" s="16">
        <f>1-VLOOKUP($C36,'Prod. et Profil'!$C:$AR,INDEX('Prod. et Profil'!$AF$1:$AQ$3,1,MONTH($E36)),FALSE)+_xlfn.DAYS(EOMONTH($E36,0),$E36)/DAY(EOMONTH($E36,0))*VLOOKUP($C36,'Prod. et Profil'!$C:$AR,INDEX('Prod. et Profil'!$T$1:$AE$3,1,MONTH($E36)),FALSE)</f>
        <v>0.31662562346180756</v>
      </c>
      <c r="M36" s="28">
        <f t="shared" si="34"/>
        <v>6.2058619032258049</v>
      </c>
      <c r="N36" s="2" t="s">
        <v>25</v>
      </c>
      <c r="O36" s="3">
        <v>95.2</v>
      </c>
      <c r="P36" s="8">
        <f t="shared" si="35"/>
        <v>1.8659199048000001</v>
      </c>
      <c r="Q36" s="8">
        <f t="shared" si="36"/>
        <v>0.59079805318709666</v>
      </c>
      <c r="R36" s="3">
        <f t="shared" si="37"/>
        <v>2020</v>
      </c>
      <c r="S36" s="5">
        <f t="shared" si="38"/>
        <v>95.2</v>
      </c>
      <c r="T36" s="8">
        <f t="shared" si="39"/>
        <v>1.8659199048000001</v>
      </c>
      <c r="U36" s="8">
        <f t="shared" si="40"/>
        <v>1.8659199048000004</v>
      </c>
      <c r="V36" s="8">
        <f t="shared" si="41"/>
        <v>1.2751218516129033</v>
      </c>
      <c r="W36" s="44">
        <f t="shared" si="28"/>
        <v>45930</v>
      </c>
      <c r="X36" s="3">
        <f t="shared" si="42"/>
        <v>2025</v>
      </c>
      <c r="Y36" t="s">
        <v>165</v>
      </c>
      <c r="Z36" t="s">
        <v>168</v>
      </c>
    </row>
    <row r="37" spans="2:26" x14ac:dyDescent="0.25">
      <c r="B37" s="3" t="s">
        <v>69</v>
      </c>
      <c r="C37" s="3" t="str">
        <f>B37</f>
        <v xml:space="preserve">Le Grand Camp </v>
      </c>
      <c r="D37" s="3" t="s">
        <v>24</v>
      </c>
      <c r="E37" s="12">
        <v>40452</v>
      </c>
      <c r="F37" s="3">
        <f t="shared" si="31"/>
        <v>2010</v>
      </c>
      <c r="G37" s="3">
        <v>10</v>
      </c>
      <c r="H37" s="16">
        <f t="shared" si="30"/>
        <v>1</v>
      </c>
      <c r="I37" s="3">
        <f t="shared" si="32"/>
        <v>10</v>
      </c>
      <c r="J37" s="2">
        <f>VLOOKUP($C37,'Prod. et Profil'!$C:$R,'Prod. et Profil'!$E$1,FALSE)</f>
        <v>2439.9998999999998</v>
      </c>
      <c r="K37" s="8">
        <f t="shared" si="33"/>
        <v>24.399998999999998</v>
      </c>
      <c r="L37" s="16">
        <f>1-VLOOKUP($C37,'Prod. et Profil'!$C:$AR,INDEX('Prod. et Profil'!$AF$1:$AQ$3,1,MONTH($E37)),FALSE)+_xlfn.DAYS(EOMONTH($E37,0),$E37)/DAY(EOMONTH($E37,0))*VLOOKUP($C37,'Prod. et Profil'!$C:$AR,INDEX('Prod. et Profil'!$T$1:$AE$3,1,MONTH($E37)),FALSE)</f>
        <v>0.29878570764457546</v>
      </c>
      <c r="M37" s="28">
        <f t="shared" si="34"/>
        <v>7.2903709677419331</v>
      </c>
      <c r="N37" s="2" t="s">
        <v>25</v>
      </c>
      <c r="O37" s="3">
        <f>O36</f>
        <v>95.2</v>
      </c>
      <c r="P37" s="8">
        <f t="shared" si="35"/>
        <v>2.3228799047999997</v>
      </c>
      <c r="Q37" s="8">
        <f t="shared" si="36"/>
        <v>0.69404331612903203</v>
      </c>
      <c r="R37" s="3">
        <f t="shared" si="37"/>
        <v>2020</v>
      </c>
      <c r="S37" s="5">
        <f t="shared" si="38"/>
        <v>92.480006799999984</v>
      </c>
      <c r="T37" s="8">
        <f t="shared" si="39"/>
        <v>2.2565120734399926</v>
      </c>
      <c r="U37" s="8">
        <f t="shared" si="40"/>
        <v>2.3030501453422643</v>
      </c>
      <c r="V37" s="8">
        <f t="shared" si="41"/>
        <v>1.5822985167686963</v>
      </c>
      <c r="W37" s="44">
        <f t="shared" si="28"/>
        <v>45930</v>
      </c>
      <c r="X37" s="3">
        <f t="shared" si="42"/>
        <v>2025</v>
      </c>
      <c r="Y37" t="s">
        <v>165</v>
      </c>
      <c r="Z37">
        <v>2026</v>
      </c>
    </row>
    <row r="38" spans="2:26" x14ac:dyDescent="0.25">
      <c r="B38" s="3" t="s">
        <v>64</v>
      </c>
      <c r="C38" s="3" t="s">
        <v>70</v>
      </c>
      <c r="D38" s="3" t="s">
        <v>24</v>
      </c>
      <c r="E38" s="12">
        <v>40452</v>
      </c>
      <c r="F38" s="3">
        <f t="shared" si="31"/>
        <v>2010</v>
      </c>
      <c r="G38" s="3">
        <v>12</v>
      </c>
      <c r="H38" s="16">
        <f t="shared" si="30"/>
        <v>1</v>
      </c>
      <c r="I38" s="3">
        <f t="shared" si="32"/>
        <v>12</v>
      </c>
      <c r="J38" s="2">
        <f>VLOOKUP($C38,'Prod. et Profil'!$C:$R,'Prod. et Profil'!$E$1,FALSE)</f>
        <v>2116.6667000000007</v>
      </c>
      <c r="K38" s="8">
        <f t="shared" si="33"/>
        <v>25.400000400000007</v>
      </c>
      <c r="L38" s="16">
        <f>1-VLOOKUP($C38,'Prod. et Profil'!$C:$AR,INDEX('Prod. et Profil'!$AF$1:$AQ$3,1,MONTH($E38)),FALSE)+_xlfn.DAYS(EOMONTH($E38,0),$E38)/DAY(EOMONTH($E38,0))*VLOOKUP($C38,'Prod. et Profil'!$C:$AR,INDEX('Prod. et Profil'!$T$1:$AE$3,1,MONTH($E38)),FALSE)</f>
        <v>0.30960687650606405</v>
      </c>
      <c r="M38" s="28">
        <f t="shared" si="34"/>
        <v>7.8640147870967798</v>
      </c>
      <c r="N38" s="2" t="s">
        <v>25</v>
      </c>
      <c r="O38" s="3">
        <f>O34</f>
        <v>95.3</v>
      </c>
      <c r="P38" s="8">
        <f t="shared" si="35"/>
        <v>2.4206200381200005</v>
      </c>
      <c r="Q38" s="8">
        <f t="shared" si="36"/>
        <v>0.74944060921032318</v>
      </c>
      <c r="R38" s="3">
        <f t="shared" si="37"/>
        <v>2020</v>
      </c>
      <c r="S38" s="5">
        <f t="shared" si="38"/>
        <v>95.3</v>
      </c>
      <c r="T38" s="8">
        <f t="shared" si="39"/>
        <v>2.4206200381200005</v>
      </c>
      <c r="U38" s="8">
        <f t="shared" si="40"/>
        <v>2.4206200381200005</v>
      </c>
      <c r="V38" s="8">
        <f t="shared" si="41"/>
        <v>1.6711794289096775</v>
      </c>
      <c r="W38" s="44">
        <f t="shared" si="28"/>
        <v>45930</v>
      </c>
      <c r="X38" s="3">
        <f t="shared" si="42"/>
        <v>2025</v>
      </c>
      <c r="Y38" t="s">
        <v>165</v>
      </c>
      <c r="Z38">
        <v>2026</v>
      </c>
    </row>
    <row r="39" spans="2:26" x14ac:dyDescent="0.25">
      <c r="B39" s="3" t="s">
        <v>71</v>
      </c>
      <c r="C39" s="3" t="str">
        <f>B39</f>
        <v>Clérimois</v>
      </c>
      <c r="D39" s="3" t="s">
        <v>24</v>
      </c>
      <c r="E39" s="12">
        <v>40623</v>
      </c>
      <c r="F39" s="3">
        <f t="shared" si="31"/>
        <v>2011</v>
      </c>
      <c r="G39" s="5">
        <v>8</v>
      </c>
      <c r="H39" s="16">
        <f t="shared" si="30"/>
        <v>1</v>
      </c>
      <c r="I39" s="5">
        <f t="shared" si="32"/>
        <v>8</v>
      </c>
      <c r="J39" s="2">
        <f>VLOOKUP($C39,'Prod. et Profil'!$C:$R,'Prod. et Profil'!$E$1,FALSE)</f>
        <v>1904.999875</v>
      </c>
      <c r="K39" s="8">
        <f t="shared" si="33"/>
        <v>15.239998999999999</v>
      </c>
      <c r="L39" s="16">
        <f>1-VLOOKUP($C39,'Prod. et Profil'!$C:$AR,INDEX('Prod. et Profil'!$AF$1:$AQ$3,1,MONTH($E39)),FALSE)+_xlfn.DAYS(EOMONTH($E39,0),$E39)/DAY(EOMONTH($E39,0))*VLOOKUP($C39,'Prod. et Profil'!$C:$AR,INDEX('Prod. et Profil'!$T$1:$AE$3,1,MONTH($E39)),FALSE)</f>
        <v>0.71502789172353021</v>
      </c>
      <c r="M39" s="28">
        <f t="shared" si="34"/>
        <v>10.897024354838708</v>
      </c>
      <c r="N39" s="2" t="s">
        <v>25</v>
      </c>
      <c r="O39" s="3">
        <v>93.9</v>
      </c>
      <c r="P39" s="8">
        <f t="shared" si="35"/>
        <v>1.4310359061</v>
      </c>
      <c r="Q39" s="8">
        <f t="shared" si="36"/>
        <v>1.0232305869193548</v>
      </c>
      <c r="R39" s="3">
        <f t="shared" si="37"/>
        <v>2021</v>
      </c>
      <c r="S39" s="5">
        <f t="shared" si="38"/>
        <v>93.9</v>
      </c>
      <c r="T39" s="8">
        <f t="shared" si="39"/>
        <v>1.4310359061</v>
      </c>
      <c r="U39" s="8">
        <f t="shared" si="40"/>
        <v>1.4310359061</v>
      </c>
      <c r="V39" s="8">
        <f t="shared" si="41"/>
        <v>0.40780531918064533</v>
      </c>
      <c r="W39" s="44">
        <f t="shared" si="28"/>
        <v>46101</v>
      </c>
      <c r="X39" s="3">
        <f t="shared" si="42"/>
        <v>2026</v>
      </c>
      <c r="Y39" t="s">
        <v>165</v>
      </c>
      <c r="Z39">
        <v>2027</v>
      </c>
    </row>
    <row r="40" spans="2:26" x14ac:dyDescent="0.25">
      <c r="B40" s="3" t="s">
        <v>72</v>
      </c>
      <c r="C40" s="3" t="str">
        <f>B40</f>
        <v>Avignonet-Lauragais PV</v>
      </c>
      <c r="D40" s="3" t="s">
        <v>73</v>
      </c>
      <c r="E40" s="12">
        <v>40709</v>
      </c>
      <c r="F40" s="3">
        <f t="shared" si="31"/>
        <v>2011</v>
      </c>
      <c r="G40" s="3">
        <v>4.5</v>
      </c>
      <c r="H40" s="16">
        <f t="shared" si="30"/>
        <v>1</v>
      </c>
      <c r="I40" s="3">
        <f t="shared" si="32"/>
        <v>4.5</v>
      </c>
      <c r="J40" s="2">
        <f>VLOOKUP($C40,'Prod. et Profil'!$C:$R,'Prod. et Profil'!$E$1,FALSE)</f>
        <v>1334.5777777777776</v>
      </c>
      <c r="K40" s="8">
        <f t="shared" si="33"/>
        <v>6.0055999999999985</v>
      </c>
      <c r="L40" s="16">
        <f>1-VLOOKUP($C40,'Prod. et Profil'!$C:$AR,INDEX('Prod. et Profil'!$AF$1:$AQ$3,1,MONTH($E40)),FALSE)+_xlfn.DAYS(EOMONTH($E40,0),$E40)/DAY(EOMONTH($E40,0))*VLOOKUP($C40,'Prod. et Profil'!$C:$AR,INDEX('Prod. et Profil'!$T$1:$AE$3,1,MONTH($E40)),FALSE)</f>
        <v>0.54733915012654843</v>
      </c>
      <c r="M40" s="28">
        <f t="shared" si="34"/>
        <v>3.2870999999999984</v>
      </c>
      <c r="N40" s="2" t="s">
        <v>25</v>
      </c>
      <c r="O40" s="3">
        <v>337.2</v>
      </c>
      <c r="P40" s="8">
        <f t="shared" si="35"/>
        <v>2.0250883199999992</v>
      </c>
      <c r="Q40" s="8">
        <f t="shared" si="36"/>
        <v>1.1084101199999994</v>
      </c>
      <c r="R40" s="3">
        <f t="shared" si="37"/>
        <v>2031</v>
      </c>
      <c r="S40" s="5">
        <f t="shared" si="38"/>
        <v>337.2</v>
      </c>
      <c r="T40" s="8">
        <f t="shared" si="39"/>
        <v>2.0250883199999992</v>
      </c>
      <c r="U40" s="8">
        <f t="shared" si="40"/>
        <v>2.0250883199999992</v>
      </c>
      <c r="V40" s="8">
        <f t="shared" si="41"/>
        <v>0.91667820000000011</v>
      </c>
      <c r="W40" s="44">
        <f t="shared" si="28"/>
        <v>48013</v>
      </c>
      <c r="X40" s="3">
        <f t="shared" si="42"/>
        <v>2031</v>
      </c>
    </row>
    <row r="41" spans="2:26" ht="19.5" x14ac:dyDescent="0.25">
      <c r="B41" s="3" t="s">
        <v>74</v>
      </c>
      <c r="C41" s="3" t="s">
        <v>75</v>
      </c>
      <c r="D41" s="3" t="s">
        <v>24</v>
      </c>
      <c r="E41" s="12">
        <v>40725</v>
      </c>
      <c r="F41" s="3">
        <f t="shared" si="31"/>
        <v>2011</v>
      </c>
      <c r="G41" s="3">
        <v>36</v>
      </c>
      <c r="H41" s="16">
        <f t="shared" si="30"/>
        <v>1</v>
      </c>
      <c r="I41" s="3">
        <f t="shared" si="32"/>
        <v>36</v>
      </c>
      <c r="J41" s="2">
        <f>VLOOKUP($C41,'Prod. et Profil'!$C:$R,'Prod. et Profil'!$E$1,FALSE)</f>
        <v>2127.7777775</v>
      </c>
      <c r="K41" s="8">
        <f t="shared" si="33"/>
        <v>76.599999990000001</v>
      </c>
      <c r="L41" s="16">
        <f>1-VLOOKUP($C41,'Prod. et Profil'!$C:$AR,INDEX('Prod. et Profil'!$AF$1:$AQ$3,1,MONTH($E41)),FALSE)+_xlfn.DAYS(EOMONTH($E41,0),$E41)/DAY(EOMONTH($E41,0))*VLOOKUP($C41,'Prod. et Profil'!$C:$AR,INDEX('Prod. et Profil'!$T$1:$AE$3,1,MONTH($E41)),FALSE)</f>
        <v>0.46391435332005954</v>
      </c>
      <c r="M41" s="28">
        <f t="shared" si="34"/>
        <v>35.535839459677419</v>
      </c>
      <c r="N41" s="2" t="s">
        <v>25</v>
      </c>
      <c r="O41" s="3">
        <v>92.7</v>
      </c>
      <c r="P41" s="8">
        <f t="shared" si="35"/>
        <v>7.1008199990729999</v>
      </c>
      <c r="Q41" s="8">
        <f t="shared" si="36"/>
        <v>3.2941723179120967</v>
      </c>
      <c r="R41" s="3">
        <f t="shared" si="37"/>
        <v>2021</v>
      </c>
      <c r="S41" s="5">
        <f t="shared" si="38"/>
        <v>92.7</v>
      </c>
      <c r="T41" s="8">
        <f t="shared" si="39"/>
        <v>7.1008199990729999</v>
      </c>
      <c r="U41" s="8">
        <f t="shared" si="40"/>
        <v>7.100819999072999</v>
      </c>
      <c r="V41" s="8">
        <f t="shared" si="41"/>
        <v>3.8066476811609036</v>
      </c>
      <c r="W41" s="44">
        <f t="shared" si="28"/>
        <v>46203</v>
      </c>
      <c r="X41" s="3">
        <f t="shared" si="42"/>
        <v>2026</v>
      </c>
    </row>
    <row r="42" spans="2:26" x14ac:dyDescent="0.25">
      <c r="B42" s="3" t="s">
        <v>76</v>
      </c>
      <c r="C42" s="3" t="str">
        <f>B42</f>
        <v>Charmoy</v>
      </c>
      <c r="D42" s="3" t="s">
        <v>24</v>
      </c>
      <c r="E42" s="12">
        <v>40732</v>
      </c>
      <c r="F42" s="3">
        <f t="shared" si="31"/>
        <v>2011</v>
      </c>
      <c r="G42" s="3">
        <v>10</v>
      </c>
      <c r="H42" s="16">
        <f t="shared" ref="H42:H73" si="43">IF(OR($F42&lt;=2021,$G42&lt;0),100%,IF($F42=2022,80%,IF($F42=2023,70%,IF($F42=2024,50%,40%))))</f>
        <v>1</v>
      </c>
      <c r="I42" s="3">
        <f t="shared" si="32"/>
        <v>10</v>
      </c>
      <c r="J42" s="2">
        <f>VLOOKUP($C42,'Prod. et Profil'!$C:$R,'Prod. et Profil'!$E$1,FALSE)</f>
        <v>2344.0000999999997</v>
      </c>
      <c r="K42" s="8">
        <f t="shared" si="33"/>
        <v>23.440000999999995</v>
      </c>
      <c r="L42" s="16">
        <f>1-VLOOKUP($C42,'Prod. et Profil'!$C:$AR,INDEX('Prod. et Profil'!$AF$1:$AQ$3,1,MONTH($E42)),FALSE)+_xlfn.DAYS(EOMONTH($E42,0),$E42)/DAY(EOMONTH($E42,0))*VLOOKUP($C42,'Prod. et Profil'!$C:$AR,INDEX('Prod. et Profil'!$T$1:$AE$3,1,MONTH($E42)),FALSE)</f>
        <v>0.46552240389849914</v>
      </c>
      <c r="M42" s="28">
        <f t="shared" si="34"/>
        <v>10.911845612903221</v>
      </c>
      <c r="N42" s="2" t="s">
        <v>25</v>
      </c>
      <c r="O42" s="3">
        <v>87.8</v>
      </c>
      <c r="P42" s="8">
        <f t="shared" si="35"/>
        <v>2.0580320877999991</v>
      </c>
      <c r="Q42" s="8">
        <f t="shared" si="36"/>
        <v>0.95806004481290274</v>
      </c>
      <c r="R42" s="3">
        <f t="shared" si="37"/>
        <v>2021</v>
      </c>
      <c r="S42" s="5">
        <f t="shared" si="38"/>
        <v>87.8</v>
      </c>
      <c r="T42" s="8">
        <f t="shared" si="39"/>
        <v>2.0580320877999991</v>
      </c>
      <c r="U42" s="8">
        <f t="shared" si="40"/>
        <v>2.0580320877999996</v>
      </c>
      <c r="V42" s="8">
        <f t="shared" si="41"/>
        <v>1.0999720429870967</v>
      </c>
      <c r="W42" s="44">
        <f t="shared" si="28"/>
        <v>46210</v>
      </c>
      <c r="X42" s="3">
        <f t="shared" si="42"/>
        <v>2026</v>
      </c>
    </row>
    <row r="43" spans="2:26" x14ac:dyDescent="0.25">
      <c r="B43" s="3" t="s">
        <v>77</v>
      </c>
      <c r="C43" s="3" t="s">
        <v>78</v>
      </c>
      <c r="D43" s="3" t="s">
        <v>24</v>
      </c>
      <c r="E43" s="12">
        <v>40763</v>
      </c>
      <c r="F43" s="3">
        <f t="shared" si="31"/>
        <v>2011</v>
      </c>
      <c r="G43" s="3">
        <v>18</v>
      </c>
      <c r="H43" s="16">
        <f t="shared" si="43"/>
        <v>1</v>
      </c>
      <c r="I43" s="3">
        <f t="shared" si="32"/>
        <v>18</v>
      </c>
      <c r="J43" s="2">
        <f>VLOOKUP($C43,'Prod. et Profil'!$C:$R,'Prod. et Profil'!$E$1,FALSE)</f>
        <v>2282.7777772222225</v>
      </c>
      <c r="K43" s="8">
        <f t="shared" si="33"/>
        <v>41.089999990000003</v>
      </c>
      <c r="L43" s="16">
        <f>1-VLOOKUP($C43,'Prod. et Profil'!$C:$AR,INDEX('Prod. et Profil'!$AF$1:$AQ$3,1,MONTH($E43)),FALSE)+_xlfn.DAYS(EOMONTH($E43,0),$E43)/DAY(EOMONTH($E43,0))*VLOOKUP($C43,'Prod. et Profil'!$C:$AR,INDEX('Prod. et Profil'!$T$1:$AE$3,1,MONTH($E43)),FALSE)</f>
        <v>0.39486653135321248</v>
      </c>
      <c r="M43" s="28">
        <f t="shared" si="34"/>
        <v>16.225065769354835</v>
      </c>
      <c r="N43" s="2" t="s">
        <v>25</v>
      </c>
      <c r="O43" s="3">
        <v>92</v>
      </c>
      <c r="P43" s="8">
        <f t="shared" si="35"/>
        <v>3.7802799990800002</v>
      </c>
      <c r="Q43" s="8">
        <f t="shared" si="36"/>
        <v>1.4927060507806447</v>
      </c>
      <c r="R43" s="3">
        <f t="shared" si="37"/>
        <v>2021</v>
      </c>
      <c r="S43" s="5">
        <f t="shared" si="38"/>
        <v>92</v>
      </c>
      <c r="T43" s="8">
        <f t="shared" si="39"/>
        <v>3.7802799990800002</v>
      </c>
      <c r="U43" s="8">
        <f t="shared" si="40"/>
        <v>3.7802799990800002</v>
      </c>
      <c r="V43" s="8">
        <f t="shared" si="41"/>
        <v>2.2875739482993556</v>
      </c>
      <c r="W43" s="44">
        <f t="shared" si="28"/>
        <v>46241</v>
      </c>
      <c r="X43" s="3">
        <f t="shared" si="42"/>
        <v>2026</v>
      </c>
    </row>
    <row r="44" spans="2:26" x14ac:dyDescent="0.25">
      <c r="B44" s="3" t="s">
        <v>79</v>
      </c>
      <c r="C44" s="3" t="str">
        <f>B44</f>
        <v>Haut de Conge 2</v>
      </c>
      <c r="D44" s="3" t="s">
        <v>24</v>
      </c>
      <c r="E44" s="12">
        <v>41381</v>
      </c>
      <c r="F44" s="3">
        <f t="shared" si="31"/>
        <v>2013</v>
      </c>
      <c r="G44" s="3">
        <v>4</v>
      </c>
      <c r="H44" s="16">
        <f t="shared" si="43"/>
        <v>1</v>
      </c>
      <c r="I44" s="3">
        <f t="shared" si="32"/>
        <v>4</v>
      </c>
      <c r="J44" s="2">
        <f>VLOOKUP($C44,'Prod. et Profil'!$C:$R,'Prod. et Profil'!$E$1,FALSE)</f>
        <v>1757.1428575000002</v>
      </c>
      <c r="K44" s="8">
        <f t="shared" si="33"/>
        <v>7.0285714300000013</v>
      </c>
      <c r="L44" s="16">
        <f>1-VLOOKUP($C44,'Prod. et Profil'!$C:$AR,INDEX('Prod. et Profil'!$AF$1:$AQ$3,1,MONTH($E44)),FALSE)+_xlfn.DAYS(EOMONTH($E44,0),$E44)/DAY(EOMONTH($E44,0))*VLOOKUP($C44,'Prod. et Profil'!$C:$AR,INDEX('Prod. et Profil'!$T$1:$AE$3,1,MONTH($E44)),FALSE)</f>
        <v>0.63033015549519045</v>
      </c>
      <c r="M44" s="28">
        <f t="shared" si="34"/>
        <v>4.4303205223809536</v>
      </c>
      <c r="N44" s="2" t="s">
        <v>25</v>
      </c>
      <c r="O44" s="3">
        <f>O35</f>
        <v>94.6</v>
      </c>
      <c r="P44" s="8">
        <f t="shared" si="35"/>
        <v>0.66490285727800003</v>
      </c>
      <c r="Q44" s="8">
        <f t="shared" si="36"/>
        <v>0.41910832141723819</v>
      </c>
      <c r="R44" s="3">
        <f t="shared" si="37"/>
        <v>2023</v>
      </c>
      <c r="S44" s="5">
        <f t="shared" si="38"/>
        <v>94.6</v>
      </c>
      <c r="T44" s="8">
        <f t="shared" si="39"/>
        <v>0.66490285727800003</v>
      </c>
      <c r="U44" s="8">
        <f t="shared" si="40"/>
        <v>0.66490285727800003</v>
      </c>
      <c r="V44" s="8">
        <f t="shared" si="41"/>
        <v>0.24579453586076189</v>
      </c>
      <c r="W44" s="44">
        <f t="shared" si="28"/>
        <v>46859</v>
      </c>
      <c r="X44" s="3">
        <f t="shared" si="42"/>
        <v>2028</v>
      </c>
    </row>
    <row r="45" spans="2:26" x14ac:dyDescent="0.25">
      <c r="B45" s="3" t="s">
        <v>80</v>
      </c>
      <c r="C45" s="3" t="str">
        <f>B45</f>
        <v xml:space="preserve">Vron  </v>
      </c>
      <c r="D45" s="3" t="s">
        <v>24</v>
      </c>
      <c r="E45" s="12">
        <v>41532</v>
      </c>
      <c r="F45" s="3">
        <f t="shared" si="31"/>
        <v>2013</v>
      </c>
      <c r="G45" s="3">
        <v>8</v>
      </c>
      <c r="H45" s="16">
        <f t="shared" si="43"/>
        <v>1</v>
      </c>
      <c r="I45" s="3">
        <f t="shared" si="32"/>
        <v>8</v>
      </c>
      <c r="J45" s="2">
        <f>VLOOKUP($C45,'Prod. et Profil'!$C:$R,'Prod. et Profil'!$E$1,FALSE)</f>
        <v>2387.5</v>
      </c>
      <c r="K45" s="8">
        <f t="shared" si="33"/>
        <v>19.100000000000001</v>
      </c>
      <c r="L45" s="16">
        <f>1-VLOOKUP($C45,'Prod. et Profil'!$C:$AR,INDEX('Prod. et Profil'!$AF$1:$AQ$3,1,MONTH($E45)),FALSE)+_xlfn.DAYS(EOMONTH($E45,0),$E45)/DAY(EOMONTH($E45,0))*VLOOKUP($C45,'Prod. et Profil'!$C:$AR,INDEX('Prod. et Profil'!$T$1:$AE$3,1,MONTH($E45)),FALSE)</f>
        <v>0.34134805709511484</v>
      </c>
      <c r="M45" s="28">
        <f t="shared" si="34"/>
        <v>6.5197478905166939</v>
      </c>
      <c r="N45" s="2" t="s">
        <v>25</v>
      </c>
      <c r="O45" s="3">
        <v>88.6</v>
      </c>
      <c r="P45" s="8">
        <f t="shared" si="35"/>
        <v>1.6922600000000001</v>
      </c>
      <c r="Q45" s="8">
        <f t="shared" si="36"/>
        <v>0.57764966309977894</v>
      </c>
      <c r="R45" s="3">
        <f t="shared" si="37"/>
        <v>2023</v>
      </c>
      <c r="S45" s="5">
        <f t="shared" si="38"/>
        <v>88.6</v>
      </c>
      <c r="T45" s="8">
        <f t="shared" si="39"/>
        <v>1.6922600000000001</v>
      </c>
      <c r="U45" s="8">
        <f t="shared" si="40"/>
        <v>1.6922600000000001</v>
      </c>
      <c r="V45" s="8">
        <f t="shared" si="41"/>
        <v>1.1146103369002209</v>
      </c>
      <c r="W45" s="44">
        <f t="shared" si="28"/>
        <v>47010</v>
      </c>
      <c r="X45" s="3">
        <f t="shared" si="42"/>
        <v>2028</v>
      </c>
    </row>
    <row r="46" spans="2:26" ht="19.5" x14ac:dyDescent="0.25">
      <c r="B46" s="3" t="s">
        <v>81</v>
      </c>
      <c r="C46" s="3" t="s">
        <v>82</v>
      </c>
      <c r="D46" s="3" t="s">
        <v>24</v>
      </c>
      <c r="E46" s="12">
        <v>41610</v>
      </c>
      <c r="F46" s="3">
        <f t="shared" si="31"/>
        <v>2013</v>
      </c>
      <c r="G46" s="3">
        <v>32</v>
      </c>
      <c r="H46" s="16">
        <f t="shared" si="43"/>
        <v>1</v>
      </c>
      <c r="I46" s="3">
        <f t="shared" si="32"/>
        <v>32</v>
      </c>
      <c r="J46" s="2">
        <f>VLOOKUP($C46,'Prod. et Profil'!$C:$R,'Prod. et Profil'!$E$1,FALSE)</f>
        <v>1982.8124374999998</v>
      </c>
      <c r="K46" s="8">
        <f t="shared" si="33"/>
        <v>63.449997999999994</v>
      </c>
      <c r="L46" s="16">
        <f>1-VLOOKUP($C46,'Prod. et Profil'!$C:$AR,INDEX('Prod. et Profil'!$AF$1:$AQ$3,1,MONTH($E46)),FALSE)+_xlfn.DAYS(EOMONTH($E46,0),$E46)/DAY(EOMONTH($E46,0))*VLOOKUP($C46,'Prod. et Profil'!$C:$AR,INDEX('Prod. et Profil'!$T$1:$AE$3,1,MONTH($E46)),FALSE)</f>
        <v>0.10944305029892429</v>
      </c>
      <c r="M46" s="28">
        <f t="shared" si="34"/>
        <v>6.9441613225806451</v>
      </c>
      <c r="N46" s="2" t="s">
        <v>25</v>
      </c>
      <c r="O46" s="3">
        <v>88.5</v>
      </c>
      <c r="P46" s="8">
        <f t="shared" si="35"/>
        <v>5.615324822999999</v>
      </c>
      <c r="Q46" s="8">
        <f t="shared" si="36"/>
        <v>0.61455827704838717</v>
      </c>
      <c r="R46" s="3">
        <f t="shared" si="37"/>
        <v>2023</v>
      </c>
      <c r="S46" s="5">
        <f t="shared" si="38"/>
        <v>88.5</v>
      </c>
      <c r="T46" s="8">
        <f t="shared" si="39"/>
        <v>5.615324822999999</v>
      </c>
      <c r="U46" s="8">
        <f t="shared" si="40"/>
        <v>5.615324822999999</v>
      </c>
      <c r="V46" s="8">
        <f t="shared" si="41"/>
        <v>5.0007665459516124</v>
      </c>
      <c r="W46" s="44">
        <f t="shared" si="28"/>
        <v>47088</v>
      </c>
      <c r="X46" s="3">
        <f t="shared" si="42"/>
        <v>2028</v>
      </c>
    </row>
    <row r="47" spans="2:26" x14ac:dyDescent="0.25">
      <c r="B47" s="3" t="s">
        <v>83</v>
      </c>
      <c r="C47" s="3" t="str">
        <f>B47</f>
        <v>Fortel-Bonnières 2</v>
      </c>
      <c r="D47" s="3" t="s">
        <v>24</v>
      </c>
      <c r="E47" s="12">
        <v>41927</v>
      </c>
      <c r="F47" s="3">
        <f t="shared" si="31"/>
        <v>2014</v>
      </c>
      <c r="G47" s="3">
        <v>11.4</v>
      </c>
      <c r="H47" s="16">
        <f t="shared" si="43"/>
        <v>1</v>
      </c>
      <c r="I47" s="3">
        <f t="shared" si="32"/>
        <v>11.4</v>
      </c>
      <c r="J47" s="2">
        <f>VLOOKUP($C47,'Prod. et Profil'!$C:$R,'Prod. et Profil'!$E$1,FALSE)</f>
        <v>2372.8070175438593</v>
      </c>
      <c r="K47" s="8">
        <f t="shared" si="33"/>
        <v>27.049999999999997</v>
      </c>
      <c r="L47" s="16">
        <f>1-VLOOKUP($C47,'Prod. et Profil'!$C:$AR,INDEX('Prod. et Profil'!$AF$1:$AQ$3,1,MONTH($E47)),FALSE)+_xlfn.DAYS(EOMONTH($E47,0),$E47)/DAY(EOMONTH($E47,0))*VLOOKUP($C47,'Prod. et Profil'!$C:$AR,INDEX('Prod. et Profil'!$T$1:$AE$3,1,MONTH($E47)),FALSE)</f>
        <v>0.262075398115512</v>
      </c>
      <c r="M47" s="28">
        <f t="shared" si="34"/>
        <v>7.0891395190245987</v>
      </c>
      <c r="N47" s="2" t="s">
        <v>25</v>
      </c>
      <c r="O47" s="3">
        <v>88.1</v>
      </c>
      <c r="P47" s="8">
        <f t="shared" si="35"/>
        <v>2.3831049999999996</v>
      </c>
      <c r="Q47" s="8">
        <f t="shared" si="36"/>
        <v>0.62455319162606715</v>
      </c>
      <c r="R47" s="3">
        <f t="shared" si="37"/>
        <v>2024</v>
      </c>
      <c r="S47" s="5">
        <f t="shared" si="38"/>
        <v>88.1</v>
      </c>
      <c r="T47" s="8">
        <f t="shared" si="39"/>
        <v>2.3831049999999996</v>
      </c>
      <c r="U47" s="8">
        <f t="shared" si="40"/>
        <v>2.3831049999999996</v>
      </c>
      <c r="V47" s="8">
        <f t="shared" si="41"/>
        <v>1.7585518083739324</v>
      </c>
      <c r="W47" s="44">
        <f t="shared" si="28"/>
        <v>47405</v>
      </c>
      <c r="X47" s="3">
        <f t="shared" si="42"/>
        <v>2029</v>
      </c>
    </row>
    <row r="48" spans="2:26" x14ac:dyDescent="0.25">
      <c r="B48" s="3" t="s">
        <v>84</v>
      </c>
      <c r="C48" s="3" t="str">
        <f>B48</f>
        <v>Pays d'Othe</v>
      </c>
      <c r="D48" s="3" t="s">
        <v>24</v>
      </c>
      <c r="E48" s="12">
        <v>41941</v>
      </c>
      <c r="F48" s="3">
        <f t="shared" si="31"/>
        <v>2014</v>
      </c>
      <c r="G48" s="3">
        <v>8</v>
      </c>
      <c r="H48" s="16">
        <f t="shared" si="43"/>
        <v>1</v>
      </c>
      <c r="I48" s="3">
        <f t="shared" si="32"/>
        <v>8</v>
      </c>
      <c r="J48" s="2">
        <f>VLOOKUP($C48,'Prod. et Profil'!$C:$R,'Prod. et Profil'!$E$1,FALSE)</f>
        <v>2328.7501249999996</v>
      </c>
      <c r="K48" s="8">
        <f t="shared" si="33"/>
        <v>18.630000999999996</v>
      </c>
      <c r="L48" s="16">
        <f>1-VLOOKUP($C48,'Prod. et Profil'!$C:$AR,INDEX('Prod. et Profil'!$AF$1:$AQ$3,1,MONTH($E48)),FALSE)+_xlfn.DAYS(EOMONTH($E48,0),$E48)/DAY(EOMONTH($E48,0))*VLOOKUP($C48,'Prod. et Profil'!$C:$AR,INDEX('Prod. et Profil'!$T$1:$AE$3,1,MONTH($E48)),FALSE)</f>
        <v>0.22524288438257847</v>
      </c>
      <c r="M48" s="28">
        <f t="shared" si="34"/>
        <v>4.1962751612903206</v>
      </c>
      <c r="N48" s="2" t="s">
        <v>25</v>
      </c>
      <c r="O48" s="3">
        <f>O47</f>
        <v>88.1</v>
      </c>
      <c r="P48" s="8">
        <f t="shared" si="35"/>
        <v>1.6413030880999995</v>
      </c>
      <c r="Q48" s="8">
        <f t="shared" si="36"/>
        <v>0.36969184170967723</v>
      </c>
      <c r="R48" s="3">
        <f t="shared" si="37"/>
        <v>2024</v>
      </c>
      <c r="S48" s="5">
        <f t="shared" si="38"/>
        <v>88.1</v>
      </c>
      <c r="T48" s="8">
        <f t="shared" si="39"/>
        <v>1.6413030880999995</v>
      </c>
      <c r="U48" s="8">
        <f t="shared" si="40"/>
        <v>1.6413030880999995</v>
      </c>
      <c r="V48" s="8">
        <f t="shared" si="41"/>
        <v>1.2716112463903226</v>
      </c>
      <c r="W48" s="44">
        <f t="shared" si="28"/>
        <v>47419</v>
      </c>
      <c r="X48" s="3">
        <f t="shared" si="42"/>
        <v>2029</v>
      </c>
    </row>
    <row r="49" spans="2:24" x14ac:dyDescent="0.25">
      <c r="B49" s="3" t="s">
        <v>85</v>
      </c>
      <c r="C49" s="3" t="str">
        <f>B49</f>
        <v>Fortel-Bonnières 1</v>
      </c>
      <c r="D49" s="3" t="s">
        <v>24</v>
      </c>
      <c r="E49" s="12">
        <v>41958</v>
      </c>
      <c r="F49" s="3">
        <f t="shared" si="31"/>
        <v>2014</v>
      </c>
      <c r="G49" s="3">
        <v>11.4</v>
      </c>
      <c r="H49" s="16">
        <f t="shared" si="43"/>
        <v>1</v>
      </c>
      <c r="I49" s="3">
        <f t="shared" si="32"/>
        <v>11.4</v>
      </c>
      <c r="J49" s="2">
        <f>VLOOKUP($C49,'Prod. et Profil'!$C:$R,'Prod. et Profil'!$E$1,FALSE)</f>
        <v>2372.8070175438593</v>
      </c>
      <c r="K49" s="8">
        <f t="shared" si="33"/>
        <v>27.049999999999997</v>
      </c>
      <c r="L49" s="16">
        <f>1-VLOOKUP($C49,'Prod. et Profil'!$C:$AR,INDEX('Prod. et Profil'!$AF$1:$AQ$3,1,MONTH($E49)),FALSE)+_xlfn.DAYS(EOMONTH($E49,0),$E49)/DAY(EOMONTH($E49,0))*VLOOKUP($C49,'Prod. et Profil'!$C:$AR,INDEX('Prod. et Profil'!$T$1:$AE$3,1,MONTH($E49)),FALSE)</f>
        <v>0.16462216817372943</v>
      </c>
      <c r="M49" s="28">
        <f t="shared" si="34"/>
        <v>4.4530296490993804</v>
      </c>
      <c r="N49" s="2" t="s">
        <v>25</v>
      </c>
      <c r="O49" s="3">
        <f>O47</f>
        <v>88.1</v>
      </c>
      <c r="P49" s="8">
        <f t="shared" si="35"/>
        <v>2.3831049999999996</v>
      </c>
      <c r="Q49" s="8">
        <f t="shared" si="36"/>
        <v>0.39231191208565536</v>
      </c>
      <c r="R49" s="3">
        <f t="shared" si="37"/>
        <v>2024</v>
      </c>
      <c r="S49" s="5">
        <f t="shared" si="38"/>
        <v>88.1</v>
      </c>
      <c r="T49" s="8">
        <f t="shared" si="39"/>
        <v>2.3831049999999996</v>
      </c>
      <c r="U49" s="8">
        <f t="shared" si="40"/>
        <v>2.3831049999999996</v>
      </c>
      <c r="V49" s="8">
        <f t="shared" si="41"/>
        <v>1.9907930879143441</v>
      </c>
      <c r="W49" s="44">
        <f t="shared" si="28"/>
        <v>47436</v>
      </c>
      <c r="X49" s="3">
        <f t="shared" si="42"/>
        <v>2029</v>
      </c>
    </row>
    <row r="50" spans="2:24" x14ac:dyDescent="0.25">
      <c r="B50" s="3" t="s">
        <v>86</v>
      </c>
      <c r="C50" s="3" t="s">
        <v>87</v>
      </c>
      <c r="D50" s="3" t="s">
        <v>24</v>
      </c>
      <c r="E50" s="12">
        <v>42053</v>
      </c>
      <c r="F50" s="3">
        <f t="shared" si="31"/>
        <v>2015</v>
      </c>
      <c r="G50" s="3">
        <v>11.4</v>
      </c>
      <c r="H50" s="16">
        <f t="shared" si="43"/>
        <v>1</v>
      </c>
      <c r="I50" s="3">
        <f t="shared" si="32"/>
        <v>11.4</v>
      </c>
      <c r="J50" s="2">
        <f>VLOOKUP($C50,'Prod. et Profil'!$C:$R,'Prod. et Profil'!$E$1,FALSE)</f>
        <v>2283.3333333333335</v>
      </c>
      <c r="K50" s="8">
        <f t="shared" si="33"/>
        <v>26.030000000000005</v>
      </c>
      <c r="L50" s="16">
        <f>1-VLOOKUP($C50,'Prod. et Profil'!$C:$AR,INDEX('Prod. et Profil'!$AF$1:$AQ$3,1,MONTH($E50)),FALSE)+_xlfn.DAYS(EOMONTH($E50,0),$E50)/DAY(EOMONTH($E50,0))*VLOOKUP($C50,'Prod. et Profil'!$C:$AR,INDEX('Prod. et Profil'!$T$1:$AE$3,1,MONTH($E50)),FALSE)</f>
        <v>0.8128408210306789</v>
      </c>
      <c r="M50" s="28">
        <f t="shared" si="34"/>
        <v>21.158246571428574</v>
      </c>
      <c r="N50" s="2" t="s">
        <v>25</v>
      </c>
      <c r="O50" s="3">
        <v>87.9</v>
      </c>
      <c r="P50" s="8">
        <f t="shared" si="35"/>
        <v>2.2880370000000005</v>
      </c>
      <c r="Q50" s="8">
        <f t="shared" si="36"/>
        <v>1.8598098736285718</v>
      </c>
      <c r="R50" s="3">
        <f t="shared" si="37"/>
        <v>2025</v>
      </c>
      <c r="S50" s="5">
        <f t="shared" si="38"/>
        <v>87.9</v>
      </c>
      <c r="T50" s="8">
        <f t="shared" si="39"/>
        <v>2.2880370000000005</v>
      </c>
      <c r="U50" s="8">
        <f t="shared" si="40"/>
        <v>2.2880370000000005</v>
      </c>
      <c r="V50" s="8">
        <f t="shared" si="41"/>
        <v>0.42822712637142879</v>
      </c>
      <c r="W50" s="44">
        <f t="shared" si="28"/>
        <v>47531</v>
      </c>
      <c r="X50" s="3">
        <f t="shared" si="42"/>
        <v>2030</v>
      </c>
    </row>
    <row r="51" spans="2:24" x14ac:dyDescent="0.25">
      <c r="B51" s="3" t="s">
        <v>88</v>
      </c>
      <c r="C51" s="3" t="s">
        <v>89</v>
      </c>
      <c r="D51" s="3" t="s">
        <v>24</v>
      </c>
      <c r="E51" s="12">
        <v>42076</v>
      </c>
      <c r="F51" s="3">
        <f t="shared" si="31"/>
        <v>2015</v>
      </c>
      <c r="G51" s="3">
        <v>11.4</v>
      </c>
      <c r="H51" s="16">
        <f t="shared" si="43"/>
        <v>1</v>
      </c>
      <c r="I51" s="3">
        <f t="shared" si="32"/>
        <v>11.4</v>
      </c>
      <c r="J51" s="2">
        <f>VLOOKUP($C51,'Prod. et Profil'!$C:$R,'Prod. et Profil'!$E$1,FALSE)</f>
        <v>2283.3333333333335</v>
      </c>
      <c r="K51" s="8">
        <f t="shared" si="33"/>
        <v>26.030000000000005</v>
      </c>
      <c r="L51" s="16">
        <f>1-VLOOKUP($C51,'Prod. et Profil'!$C:$AR,INDEX('Prod. et Profil'!$AF$1:$AQ$3,1,MONTH($E51)),FALSE)+_xlfn.DAYS(EOMONTH($E51,0),$E51)/DAY(EOMONTH($E51,0))*VLOOKUP($C51,'Prod. et Profil'!$C:$AR,INDEX('Prod. et Profil'!$T$1:$AE$3,1,MONTH($E51)),FALSE)</f>
        <v>0.7355626516550382</v>
      </c>
      <c r="M51" s="28">
        <f t="shared" si="34"/>
        <v>19.146695822580647</v>
      </c>
      <c r="N51" s="2" t="s">
        <v>25</v>
      </c>
      <c r="O51" s="3">
        <f>O50</f>
        <v>87.9</v>
      </c>
      <c r="P51" s="8">
        <f t="shared" si="35"/>
        <v>2.2880370000000005</v>
      </c>
      <c r="Q51" s="8">
        <f t="shared" si="36"/>
        <v>1.6829945628048391</v>
      </c>
      <c r="R51" s="3">
        <f t="shared" si="37"/>
        <v>2025</v>
      </c>
      <c r="S51" s="5">
        <f t="shared" si="38"/>
        <v>87.9</v>
      </c>
      <c r="T51" s="8">
        <f t="shared" si="39"/>
        <v>2.2880370000000005</v>
      </c>
      <c r="U51" s="8">
        <f t="shared" si="40"/>
        <v>2.2880370000000005</v>
      </c>
      <c r="V51" s="8">
        <f t="shared" si="41"/>
        <v>0.6050424371951616</v>
      </c>
      <c r="W51" s="44">
        <f t="shared" si="28"/>
        <v>47554</v>
      </c>
      <c r="X51" s="3">
        <f t="shared" si="42"/>
        <v>2030</v>
      </c>
    </row>
    <row r="52" spans="2:24" x14ac:dyDescent="0.25">
      <c r="B52" s="3" t="s">
        <v>90</v>
      </c>
      <c r="C52" s="3" t="str">
        <f t="shared" ref="C52:C60" si="44">B52</f>
        <v>Comes de l'Arce</v>
      </c>
      <c r="D52" s="3" t="s">
        <v>24</v>
      </c>
      <c r="E52" s="12">
        <v>42090</v>
      </c>
      <c r="F52" s="3">
        <f t="shared" si="31"/>
        <v>2015</v>
      </c>
      <c r="G52" s="3">
        <v>10</v>
      </c>
      <c r="H52" s="16">
        <f t="shared" si="43"/>
        <v>1</v>
      </c>
      <c r="I52" s="3">
        <f t="shared" si="32"/>
        <v>10</v>
      </c>
      <c r="J52" s="2">
        <f>VLOOKUP($C52,'Prod. et Profil'!$C:$R,'Prod. et Profil'!$E$1,FALSE)</f>
        <v>2545</v>
      </c>
      <c r="K52" s="8">
        <f t="shared" si="33"/>
        <v>25.45</v>
      </c>
      <c r="L52" s="16">
        <f>1-VLOOKUP($C52,'Prod. et Profil'!$C:$AR,INDEX('Prod. et Profil'!$AF$1:$AQ$3,1,MONTH($E52)),FALSE)+_xlfn.DAYS(EOMONTH($E52,0),$E52)/DAY(EOMONTH($E52,0))*VLOOKUP($C52,'Prod. et Profil'!$C:$AR,INDEX('Prod. et Profil'!$T$1:$AE$3,1,MONTH($E52)),FALSE)</f>
        <v>0.69457085620128023</v>
      </c>
      <c r="M52" s="28">
        <f t="shared" si="34"/>
        <v>17.676828290322582</v>
      </c>
      <c r="N52" s="2" t="s">
        <v>25</v>
      </c>
      <c r="O52" s="3">
        <f>O51</f>
        <v>87.9</v>
      </c>
      <c r="P52" s="8">
        <f t="shared" si="35"/>
        <v>2.2370550000000002</v>
      </c>
      <c r="Q52" s="8">
        <f t="shared" si="36"/>
        <v>1.5537932067193552</v>
      </c>
      <c r="R52" s="3">
        <f t="shared" si="37"/>
        <v>2025</v>
      </c>
      <c r="S52" s="5">
        <f t="shared" si="38"/>
        <v>80.68625000000003</v>
      </c>
      <c r="T52" s="8">
        <f t="shared" si="39"/>
        <v>2.0534650625000008</v>
      </c>
      <c r="U52" s="8">
        <f t="shared" si="40"/>
        <v>2.1095387799206859</v>
      </c>
      <c r="V52" s="8">
        <f t="shared" si="41"/>
        <v>0.62718807585995962</v>
      </c>
      <c r="W52" s="44">
        <f t="shared" si="28"/>
        <v>47568</v>
      </c>
      <c r="X52" s="3">
        <f t="shared" si="42"/>
        <v>2030</v>
      </c>
    </row>
    <row r="53" spans="2:24" x14ac:dyDescent="0.25">
      <c r="B53" s="3" t="s">
        <v>91</v>
      </c>
      <c r="C53" s="3" t="str">
        <f t="shared" si="44"/>
        <v>Monfort</v>
      </c>
      <c r="D53" s="3" t="s">
        <v>73</v>
      </c>
      <c r="E53" s="12">
        <v>42276</v>
      </c>
      <c r="F53" s="3">
        <f t="shared" si="31"/>
        <v>2015</v>
      </c>
      <c r="G53" s="3">
        <v>9.8000000000000007</v>
      </c>
      <c r="H53" s="16">
        <f t="shared" si="43"/>
        <v>1</v>
      </c>
      <c r="I53" s="3">
        <f t="shared" si="32"/>
        <v>9.8000000000000007</v>
      </c>
      <c r="J53" s="2">
        <f>VLOOKUP($C53,'Prod. et Profil'!$C:$R,'Prod. et Profil'!$E$1,FALSE)</f>
        <v>1556.5510204081631</v>
      </c>
      <c r="K53" s="8">
        <f t="shared" si="33"/>
        <v>15.254200000000001</v>
      </c>
      <c r="L53" s="16">
        <f>1-VLOOKUP($C53,'Prod. et Profil'!$C:$AR,INDEX('Prod. et Profil'!$AF$1:$AQ$3,1,MONTH($E53)),FALSE)+_xlfn.DAYS(EOMONTH($E53,0),$E53)/DAY(EOMONTH($E53,0))*VLOOKUP($C53,'Prod. et Profil'!$C:$AR,INDEX('Prod. et Profil'!$T$1:$AE$3,1,MONTH($E53)),FALSE)</f>
        <v>0.1712020296049612</v>
      </c>
      <c r="M53" s="28">
        <f t="shared" si="34"/>
        <v>2.6115499999999994</v>
      </c>
      <c r="N53" s="2" t="s">
        <v>25</v>
      </c>
      <c r="O53" s="3">
        <v>85.6</v>
      </c>
      <c r="P53" s="8">
        <f t="shared" si="35"/>
        <v>1.3057595200000001</v>
      </c>
      <c r="Q53" s="8">
        <f t="shared" si="36"/>
        <v>0.22354867999999994</v>
      </c>
      <c r="R53" s="35">
        <f>YEAR(W53)</f>
        <v>2035</v>
      </c>
      <c r="S53" s="5">
        <f t="shared" si="38"/>
        <v>85.6</v>
      </c>
      <c r="T53" s="8">
        <f t="shared" si="39"/>
        <v>1.3057595200000001</v>
      </c>
      <c r="U53" s="8">
        <f t="shared" si="40"/>
        <v>1.3057595200000001</v>
      </c>
      <c r="V53" s="8">
        <f t="shared" si="41"/>
        <v>1.0822108399999999</v>
      </c>
      <c r="W53" s="45">
        <f t="shared" si="28"/>
        <v>49580</v>
      </c>
      <c r="X53" s="3">
        <f t="shared" si="42"/>
        <v>2035</v>
      </c>
    </row>
    <row r="54" spans="2:24" x14ac:dyDescent="0.25">
      <c r="B54" s="3" t="s">
        <v>92</v>
      </c>
      <c r="C54" s="3" t="str">
        <f t="shared" si="44"/>
        <v xml:space="preserve">Calmont  </v>
      </c>
      <c r="D54" s="3" t="s">
        <v>24</v>
      </c>
      <c r="E54" s="12">
        <v>42344</v>
      </c>
      <c r="F54" s="3">
        <f t="shared" si="31"/>
        <v>2015</v>
      </c>
      <c r="G54" s="3">
        <v>14.35</v>
      </c>
      <c r="H54" s="16">
        <f t="shared" si="43"/>
        <v>1</v>
      </c>
      <c r="I54" s="3">
        <f t="shared" si="32"/>
        <v>14.35</v>
      </c>
      <c r="J54" s="2">
        <f>VLOOKUP($C54,'Prod. et Profil'!$C:$R,'Prod. et Profil'!$E$1,FALSE)</f>
        <v>2334.4948432055749</v>
      </c>
      <c r="K54" s="8">
        <f t="shared" si="33"/>
        <v>33.500000999999997</v>
      </c>
      <c r="L54" s="16">
        <f>1-VLOOKUP($C54,'Prod. et Profil'!$C:$AR,INDEX('Prod. et Profil'!$AF$1:$AQ$3,1,MONTH($E54)),FALSE)+_xlfn.DAYS(EOMONTH($E54,0),$E54)/DAY(EOMONTH($E54,0))*VLOOKUP($C54,'Prod. et Profil'!$C:$AR,INDEX('Prod. et Profil'!$T$1:$AE$3,1,MONTH($E54)),FALSE)</f>
        <v>7.6607725204776406E-2</v>
      </c>
      <c r="M54" s="28">
        <f t="shared" si="34"/>
        <v>2.5663588709677345</v>
      </c>
      <c r="N54" s="2" t="s">
        <v>25</v>
      </c>
      <c r="O54" s="3">
        <v>87.7</v>
      </c>
      <c r="P54" s="8">
        <f t="shared" si="35"/>
        <v>2.9379500877</v>
      </c>
      <c r="Q54" s="8">
        <f t="shared" si="36"/>
        <v>0.22506967298387034</v>
      </c>
      <c r="R54" s="3">
        <f t="shared" ref="R54:R60" si="45">IF($N54="Off",$F54,$F54+IF(AND($D54="Eolien",OR($N54="FiT",$N54="CR16")),10,20))</f>
        <v>2025</v>
      </c>
      <c r="S54" s="5">
        <f t="shared" si="38"/>
        <v>87.7</v>
      </c>
      <c r="T54" s="8">
        <f t="shared" si="39"/>
        <v>2.9379500877</v>
      </c>
      <c r="U54" s="8">
        <f t="shared" si="40"/>
        <v>2.9379500877</v>
      </c>
      <c r="V54" s="8">
        <f t="shared" si="41"/>
        <v>2.7128804147161296</v>
      </c>
      <c r="W54" s="44">
        <f t="shared" si="28"/>
        <v>47822</v>
      </c>
      <c r="X54" s="3">
        <f t="shared" si="42"/>
        <v>2030</v>
      </c>
    </row>
    <row r="55" spans="2:24" x14ac:dyDescent="0.25">
      <c r="B55" s="3" t="s">
        <v>93</v>
      </c>
      <c r="C55" s="3" t="str">
        <f t="shared" si="44"/>
        <v>Touvent</v>
      </c>
      <c r="D55" s="3" t="s">
        <v>24</v>
      </c>
      <c r="E55" s="12">
        <v>42583</v>
      </c>
      <c r="F55" s="3">
        <f t="shared" si="31"/>
        <v>2016</v>
      </c>
      <c r="G55" s="3">
        <v>13.8</v>
      </c>
      <c r="H55" s="16">
        <f t="shared" si="43"/>
        <v>1</v>
      </c>
      <c r="I55" s="3">
        <f t="shared" si="32"/>
        <v>13.8</v>
      </c>
      <c r="J55" s="2">
        <f>VLOOKUP($C55,'Prod. et Profil'!$C:$R,'Prod. et Profil'!$E$1,FALSE)</f>
        <v>2165.2173913043475</v>
      </c>
      <c r="K55" s="8">
        <f t="shared" si="33"/>
        <v>29.879999999999995</v>
      </c>
      <c r="L55" s="16">
        <f>1-VLOOKUP($C55,'Prod. et Profil'!$C:$AR,INDEX('Prod. et Profil'!$AF$1:$AQ$3,1,MONTH($E55)),FALSE)+_xlfn.DAYS(EOMONTH($E55,0),$E55)/DAY(EOMONTH($E55,0))*VLOOKUP($C55,'Prod. et Profil'!$C:$AR,INDEX('Prod. et Profil'!$T$1:$AE$3,1,MONTH($E55)),FALSE)</f>
        <v>0.41644250982424319</v>
      </c>
      <c r="M55" s="28">
        <f t="shared" si="34"/>
        <v>12.443302193548385</v>
      </c>
      <c r="N55" s="2" t="s">
        <v>25</v>
      </c>
      <c r="O55" s="3">
        <f>O54</f>
        <v>87.7</v>
      </c>
      <c r="P55" s="8">
        <f t="shared" si="35"/>
        <v>2.6204759999999996</v>
      </c>
      <c r="Q55" s="8">
        <f t="shared" si="36"/>
        <v>1.0912776023741935</v>
      </c>
      <c r="R55" s="3">
        <f t="shared" si="45"/>
        <v>2026</v>
      </c>
      <c r="S55" s="5">
        <f t="shared" si="38"/>
        <v>87.7</v>
      </c>
      <c r="T55" s="8">
        <f t="shared" si="39"/>
        <v>2.6204759999999996</v>
      </c>
      <c r="U55" s="8">
        <f t="shared" si="40"/>
        <v>2.6204759999999996</v>
      </c>
      <c r="V55" s="8">
        <f t="shared" si="41"/>
        <v>1.5291983976258063</v>
      </c>
      <c r="W55" s="44">
        <f t="shared" si="28"/>
        <v>48060</v>
      </c>
      <c r="X55" s="3">
        <f t="shared" si="42"/>
        <v>2031</v>
      </c>
    </row>
    <row r="56" spans="2:24" x14ac:dyDescent="0.25">
      <c r="B56" s="3" t="s">
        <v>94</v>
      </c>
      <c r="C56" s="3" t="str">
        <f t="shared" si="44"/>
        <v>Plateau de Savernat 1</v>
      </c>
      <c r="D56" s="3" t="s">
        <v>24</v>
      </c>
      <c r="E56" s="12">
        <v>42698</v>
      </c>
      <c r="F56" s="3">
        <f t="shared" si="31"/>
        <v>2016</v>
      </c>
      <c r="G56" s="3">
        <v>12</v>
      </c>
      <c r="H56" s="16">
        <f t="shared" si="43"/>
        <v>1</v>
      </c>
      <c r="I56" s="3">
        <f t="shared" si="32"/>
        <v>12</v>
      </c>
      <c r="J56" s="2">
        <f>VLOOKUP($C56,'Prod. et Profil'!$C:$R,'Prod. et Profil'!$E$1,FALSE)</f>
        <v>2194.8750000000005</v>
      </c>
      <c r="K56" s="8">
        <f t="shared" si="33"/>
        <v>26.338500000000007</v>
      </c>
      <c r="L56" s="16">
        <f>1-VLOOKUP($C56,'Prod. et Profil'!$C:$AR,INDEX('Prod. et Profil'!$AF$1:$AQ$3,1,MONTH($E56)),FALSE)+_xlfn.DAYS(EOMONTH($E56,0),$E56)/DAY(EOMONTH($E56,0))*VLOOKUP($C56,'Prod. et Profil'!$C:$AR,INDEX('Prod. et Profil'!$T$1:$AE$3,1,MONTH($E56)),FALSE)</f>
        <v>0.13749607039125242</v>
      </c>
      <c r="M56" s="28">
        <f t="shared" si="34"/>
        <v>3.6214402500000027</v>
      </c>
      <c r="N56" s="2" t="s">
        <v>25</v>
      </c>
      <c r="O56" s="3">
        <v>87.3</v>
      </c>
      <c r="P56" s="8">
        <f t="shared" si="35"/>
        <v>2.2993510500000007</v>
      </c>
      <c r="Q56" s="8">
        <f t="shared" si="36"/>
        <v>0.31615173382500023</v>
      </c>
      <c r="R56" s="3">
        <f t="shared" si="45"/>
        <v>2026</v>
      </c>
      <c r="S56" s="5">
        <f t="shared" si="38"/>
        <v>87.3</v>
      </c>
      <c r="T56" s="8">
        <f t="shared" si="39"/>
        <v>2.2993510500000007</v>
      </c>
      <c r="U56" s="8">
        <f t="shared" si="40"/>
        <v>2.2993510500000003</v>
      </c>
      <c r="V56" s="8">
        <f t="shared" si="41"/>
        <v>1.9831993161750003</v>
      </c>
      <c r="W56" s="44">
        <f t="shared" si="28"/>
        <v>48175</v>
      </c>
      <c r="X56" s="3">
        <f t="shared" si="42"/>
        <v>2031</v>
      </c>
    </row>
    <row r="57" spans="2:24" x14ac:dyDescent="0.25">
      <c r="B57" s="3" t="s">
        <v>95</v>
      </c>
      <c r="C57" s="3" t="str">
        <f t="shared" si="44"/>
        <v>Morlange</v>
      </c>
      <c r="D57" s="3" t="s">
        <v>24</v>
      </c>
      <c r="E57" s="12">
        <v>42705</v>
      </c>
      <c r="F57" s="3">
        <f t="shared" si="31"/>
        <v>2016</v>
      </c>
      <c r="G57" s="5">
        <v>9.6</v>
      </c>
      <c r="H57" s="16">
        <f t="shared" si="43"/>
        <v>1</v>
      </c>
      <c r="I57" s="5">
        <f t="shared" si="32"/>
        <v>9.6</v>
      </c>
      <c r="J57" s="2">
        <f>VLOOKUP($C57,'Prod. et Profil'!$C:$R,'Prod. et Profil'!$E$1,FALSE)</f>
        <v>2006.2498958333333</v>
      </c>
      <c r="K57" s="8">
        <f t="shared" si="33"/>
        <v>19.259999000000001</v>
      </c>
      <c r="L57" s="16">
        <f>1-VLOOKUP($C57,'Prod. et Profil'!$C:$AR,INDEX('Prod. et Profil'!$AF$1:$AQ$3,1,MONTH($E57)),FALSE)+_xlfn.DAYS(EOMONTH($E57,0),$E57)/DAY(EOMONTH($E57,0))*VLOOKUP($C57,'Prod. et Profil'!$C:$AR,INDEX('Prod. et Profil'!$T$1:$AE$3,1,MONTH($E57)),FALSE)</f>
        <v>0.10612160132946379</v>
      </c>
      <c r="M57" s="28">
        <f t="shared" si="34"/>
        <v>2.0439019354838712</v>
      </c>
      <c r="N57" s="2" t="s">
        <v>25</v>
      </c>
      <c r="O57" s="3">
        <v>87.4</v>
      </c>
      <c r="P57" s="8">
        <f t="shared" si="35"/>
        <v>1.6833239126000001</v>
      </c>
      <c r="Q57" s="8">
        <f t="shared" si="36"/>
        <v>0.17863702916129034</v>
      </c>
      <c r="R57" s="3">
        <f t="shared" si="45"/>
        <v>2026</v>
      </c>
      <c r="S57" s="5">
        <f t="shared" si="38"/>
        <v>87.4</v>
      </c>
      <c r="T57" s="8">
        <f t="shared" si="39"/>
        <v>1.6833239126000001</v>
      </c>
      <c r="U57" s="8">
        <f t="shared" si="40"/>
        <v>1.6833239126000001</v>
      </c>
      <c r="V57" s="8">
        <f t="shared" si="41"/>
        <v>1.5046868834387099</v>
      </c>
      <c r="W57" s="44">
        <f t="shared" si="28"/>
        <v>48182</v>
      </c>
      <c r="X57" s="3">
        <f t="shared" si="42"/>
        <v>2031</v>
      </c>
    </row>
    <row r="58" spans="2:24" x14ac:dyDescent="0.25">
      <c r="B58" s="3" t="s">
        <v>96</v>
      </c>
      <c r="C58" s="3" t="str">
        <f t="shared" si="44"/>
        <v>Zondrange</v>
      </c>
      <c r="D58" s="3" t="s">
        <v>24</v>
      </c>
      <c r="E58" s="12">
        <v>42705</v>
      </c>
      <c r="F58" s="3">
        <f t="shared" si="31"/>
        <v>2016</v>
      </c>
      <c r="G58" s="5">
        <v>12.5</v>
      </c>
      <c r="H58" s="16">
        <f t="shared" si="43"/>
        <v>1</v>
      </c>
      <c r="I58" s="5">
        <f t="shared" si="32"/>
        <v>12.5</v>
      </c>
      <c r="J58" s="2">
        <f>VLOOKUP($C58,'Prod. et Profil'!$C:$R,'Prod. et Profil'!$E$1,FALSE)</f>
        <v>1702.4000000000003</v>
      </c>
      <c r="K58" s="8">
        <f t="shared" si="33"/>
        <v>21.280000000000005</v>
      </c>
      <c r="L58" s="16">
        <f>1-VLOOKUP($C58,'Prod. et Profil'!$C:$AR,INDEX('Prod. et Profil'!$AF$1:$AQ$3,1,MONTH($E58)),FALSE)+_xlfn.DAYS(EOMONTH($E58,0),$E58)/DAY(EOMONTH($E58,0))*VLOOKUP($C58,'Prod. et Profil'!$C:$AR,INDEX('Prod. et Profil'!$T$1:$AE$3,1,MONTH($E58)),FALSE)</f>
        <v>0.10992579735629418</v>
      </c>
      <c r="M58" s="28">
        <f t="shared" si="34"/>
        <v>2.3392209677419409</v>
      </c>
      <c r="N58" s="2" t="s">
        <v>25</v>
      </c>
      <c r="O58" s="3">
        <f>O57</f>
        <v>87.4</v>
      </c>
      <c r="P58" s="8">
        <f t="shared" si="35"/>
        <v>1.8598720000000006</v>
      </c>
      <c r="Q58" s="8">
        <f t="shared" si="36"/>
        <v>0.20444791258064562</v>
      </c>
      <c r="R58" s="3">
        <f t="shared" si="45"/>
        <v>2026</v>
      </c>
      <c r="S58" s="5">
        <f t="shared" si="38"/>
        <v>87.4</v>
      </c>
      <c r="T58" s="8">
        <f t="shared" si="39"/>
        <v>1.8598720000000006</v>
      </c>
      <c r="U58" s="8">
        <f t="shared" si="40"/>
        <v>1.8598720000000006</v>
      </c>
      <c r="V58" s="8">
        <f t="shared" si="41"/>
        <v>1.6554240874193549</v>
      </c>
      <c r="W58" s="44">
        <f t="shared" si="28"/>
        <v>48182</v>
      </c>
      <c r="X58" s="3">
        <f t="shared" si="42"/>
        <v>2031</v>
      </c>
    </row>
    <row r="59" spans="2:24" x14ac:dyDescent="0.25">
      <c r="B59" s="3" t="s">
        <v>97</v>
      </c>
      <c r="C59" s="3" t="str">
        <f t="shared" si="44"/>
        <v>Plateau de Savernat 2</v>
      </c>
      <c r="D59" s="3" t="s">
        <v>24</v>
      </c>
      <c r="E59" s="12">
        <v>42879</v>
      </c>
      <c r="F59" s="3">
        <f t="shared" si="31"/>
        <v>2017</v>
      </c>
      <c r="G59" s="3">
        <v>4</v>
      </c>
      <c r="H59" s="16">
        <f t="shared" si="43"/>
        <v>1</v>
      </c>
      <c r="I59" s="3">
        <f t="shared" si="32"/>
        <v>4</v>
      </c>
      <c r="J59" s="2">
        <f>VLOOKUP($C59,'Prod. et Profil'!$C:$R,'Prod. et Profil'!$E$1,FALSE)</f>
        <v>2194.875</v>
      </c>
      <c r="K59" s="8">
        <f t="shared" si="33"/>
        <v>8.7795000000000005</v>
      </c>
      <c r="L59" s="16">
        <f>1-VLOOKUP($C59,'Prod. et Profil'!$C:$AR,INDEX('Prod. et Profil'!$AF$1:$AQ$3,1,MONTH($E59)),FALSE)+_xlfn.DAYS(EOMONTH($E59,0),$E59)/DAY(EOMONTH($E59,0))*VLOOKUP($C59,'Prod. et Profil'!$C:$AR,INDEX('Prod. et Profil'!$T$1:$AE$3,1,MONTH($E59)),FALSE)</f>
        <v>0.5465707899083091</v>
      </c>
      <c r="M59" s="28">
        <f t="shared" si="34"/>
        <v>4.7986182499999996</v>
      </c>
      <c r="N59" s="2" t="s">
        <v>25</v>
      </c>
      <c r="O59" s="3">
        <f>O56</f>
        <v>87.3</v>
      </c>
      <c r="P59" s="8">
        <f t="shared" si="35"/>
        <v>0.76645035000000006</v>
      </c>
      <c r="Q59" s="8">
        <f t="shared" si="36"/>
        <v>0.41891937322499995</v>
      </c>
      <c r="R59" s="3">
        <f t="shared" si="45"/>
        <v>2027</v>
      </c>
      <c r="S59" s="5">
        <f t="shared" si="38"/>
        <v>87.3</v>
      </c>
      <c r="T59" s="8">
        <f t="shared" si="39"/>
        <v>0.76645035000000006</v>
      </c>
      <c r="U59" s="8">
        <f t="shared" si="40"/>
        <v>0.76645035000000006</v>
      </c>
      <c r="V59" s="8">
        <f t="shared" si="41"/>
        <v>0.34753097677500006</v>
      </c>
      <c r="W59" s="44">
        <f t="shared" si="28"/>
        <v>48357</v>
      </c>
      <c r="X59" s="3">
        <f t="shared" si="42"/>
        <v>2032</v>
      </c>
    </row>
    <row r="60" spans="2:24" x14ac:dyDescent="0.25">
      <c r="B60" s="3" t="s">
        <v>98</v>
      </c>
      <c r="C60" s="3" t="str">
        <f t="shared" si="44"/>
        <v>Voie des Monts</v>
      </c>
      <c r="D60" s="3" t="s">
        <v>24</v>
      </c>
      <c r="E60" s="12">
        <v>42926</v>
      </c>
      <c r="F60" s="3">
        <f t="shared" si="31"/>
        <v>2017</v>
      </c>
      <c r="G60" s="3">
        <v>10</v>
      </c>
      <c r="H60" s="16">
        <f t="shared" si="43"/>
        <v>1</v>
      </c>
      <c r="I60" s="3">
        <f t="shared" si="32"/>
        <v>10</v>
      </c>
      <c r="J60" s="2">
        <f>VLOOKUP($C60,'Prod. et Profil'!$C:$R,'Prod. et Profil'!$E$1,FALSE)</f>
        <v>2899.0001000000002</v>
      </c>
      <c r="K60" s="8">
        <f t="shared" si="33"/>
        <v>28.990001000000003</v>
      </c>
      <c r="L60" s="16">
        <f>1-VLOOKUP($C60,'Prod. et Profil'!$C:$AR,INDEX('Prod. et Profil'!$AF$1:$AQ$3,1,MONTH($E60)),FALSE)+_xlfn.DAYS(EOMONTH($E60,0),$E60)/DAY(EOMONTH($E60,0))*VLOOKUP($C60,'Prod. et Profil'!$C:$AR,INDEX('Prod. et Profil'!$T$1:$AE$3,1,MONTH($E60)),FALSE)</f>
        <v>0.46538532705722202</v>
      </c>
      <c r="M60" s="28">
        <f t="shared" si="34"/>
        <v>13.491521096774195</v>
      </c>
      <c r="N60" s="2" t="s">
        <v>25</v>
      </c>
      <c r="O60" s="3">
        <v>85.7</v>
      </c>
      <c r="P60" s="8">
        <f t="shared" si="35"/>
        <v>2.4844430857000002</v>
      </c>
      <c r="Q60" s="8">
        <f t="shared" si="36"/>
        <v>1.1562233579935484</v>
      </c>
      <c r="R60" s="3">
        <f t="shared" si="45"/>
        <v>2027</v>
      </c>
      <c r="S60" s="5">
        <f t="shared" si="38"/>
        <v>63.049994999999996</v>
      </c>
      <c r="T60" s="8">
        <f t="shared" si="39"/>
        <v>1.8278194180999952</v>
      </c>
      <c r="U60" s="8">
        <f t="shared" si="40"/>
        <v>2.1788600654004591</v>
      </c>
      <c r="V60" s="8">
        <f t="shared" si="41"/>
        <v>0.97717908040598767</v>
      </c>
      <c r="W60" s="44">
        <f t="shared" si="28"/>
        <v>48404</v>
      </c>
      <c r="X60" s="3">
        <f t="shared" si="42"/>
        <v>2032</v>
      </c>
    </row>
    <row r="61" spans="2:24" x14ac:dyDescent="0.25">
      <c r="B61" s="3" t="s">
        <v>99</v>
      </c>
      <c r="C61" s="3" t="s">
        <v>100</v>
      </c>
      <c r="D61" s="3" t="s">
        <v>24</v>
      </c>
      <c r="E61" s="12">
        <v>42948</v>
      </c>
      <c r="F61" s="3">
        <f t="shared" si="31"/>
        <v>2017</v>
      </c>
      <c r="G61" s="3">
        <v>24</v>
      </c>
      <c r="H61" s="16">
        <f t="shared" si="43"/>
        <v>1</v>
      </c>
      <c r="I61" s="3">
        <f t="shared" si="32"/>
        <v>24</v>
      </c>
      <c r="J61" s="2">
        <f>VLOOKUP($C61,'Prod. et Profil'!$C:$R,'Prod. et Profil'!$E$1,FALSE)</f>
        <v>2805.4166666666665</v>
      </c>
      <c r="K61" s="8">
        <f t="shared" si="33"/>
        <v>67.33</v>
      </c>
      <c r="L61" s="16">
        <f>1-VLOOKUP($C61,'Prod. et Profil'!$C:$AR,INDEX('Prod. et Profil'!$AF$1:$AQ$3,1,MONTH($E61)),FALSE)+_xlfn.DAYS(EOMONTH($E61,0),$E61)/DAY(EOMONTH($E61,0))*VLOOKUP($C61,'Prod. et Profil'!$C:$AR,INDEX('Prod. et Profil'!$T$1:$AE$3,1,MONTH($E61)),FALSE)</f>
        <v>0.43134486616232981</v>
      </c>
      <c r="M61" s="28">
        <f t="shared" si="34"/>
        <v>29.042449838709665</v>
      </c>
      <c r="N61" s="2" t="s">
        <v>25</v>
      </c>
      <c r="O61" s="3">
        <v>86.7</v>
      </c>
      <c r="P61" s="8">
        <f t="shared" si="35"/>
        <v>5.8375110000000001</v>
      </c>
      <c r="Q61" s="8">
        <f t="shared" si="36"/>
        <v>2.517980401016128</v>
      </c>
      <c r="R61" s="35">
        <f>YEAR(EDATE(W61,-5*12))</f>
        <v>2027</v>
      </c>
      <c r="S61" s="5">
        <f t="shared" si="38"/>
        <v>67.729166666666657</v>
      </c>
      <c r="T61" s="8">
        <f t="shared" si="39"/>
        <v>4.5602047916666661</v>
      </c>
      <c r="U61" s="8">
        <f t="shared" si="40"/>
        <v>5.2865515245181447</v>
      </c>
      <c r="V61" s="8">
        <f t="shared" si="41"/>
        <v>2.5931838661323927</v>
      </c>
      <c r="W61" s="45">
        <f t="shared" si="28"/>
        <v>48426</v>
      </c>
      <c r="X61" s="3">
        <f t="shared" si="42"/>
        <v>2032</v>
      </c>
    </row>
    <row r="62" spans="2:24" x14ac:dyDescent="0.25">
      <c r="B62" s="3" t="s">
        <v>101</v>
      </c>
      <c r="C62" s="3" t="s">
        <v>102</v>
      </c>
      <c r="D62" s="3" t="s">
        <v>24</v>
      </c>
      <c r="E62" s="12">
        <v>42965</v>
      </c>
      <c r="F62" s="3">
        <f t="shared" si="31"/>
        <v>2017</v>
      </c>
      <c r="G62" s="5">
        <v>15</v>
      </c>
      <c r="H62" s="16">
        <f t="shared" si="43"/>
        <v>1</v>
      </c>
      <c r="I62" s="5">
        <f t="shared" si="32"/>
        <v>15</v>
      </c>
      <c r="J62" s="2">
        <f>VLOOKUP($C62,'Prod. et Profil'!$C:$R,'Prod. et Profil'!$E$1,FALSE)</f>
        <v>2433.3333333333335</v>
      </c>
      <c r="K62" s="8">
        <f t="shared" si="33"/>
        <v>36.5</v>
      </c>
      <c r="L62" s="16">
        <f>1-VLOOKUP($C62,'Prod. et Profil'!$C:$AR,INDEX('Prod. et Profil'!$AF$1:$AQ$3,1,MONTH($E62)),FALSE)+_xlfn.DAYS(EOMONTH($E62,0),$E62)/DAY(EOMONTH($E62,0))*VLOOKUP($C62,'Prod. et Profil'!$C:$AR,INDEX('Prod. et Profil'!$T$1:$AE$3,1,MONTH($E62)),FALSE)</f>
        <v>0.39917982942996033</v>
      </c>
      <c r="M62" s="28">
        <f t="shared" si="34"/>
        <v>14.570063774193551</v>
      </c>
      <c r="N62" s="2" t="s">
        <v>25</v>
      </c>
      <c r="O62" s="3">
        <f>O63</f>
        <v>85.8</v>
      </c>
      <c r="P62" s="8">
        <f t="shared" si="35"/>
        <v>3.1316999999999999</v>
      </c>
      <c r="Q62" s="8">
        <f t="shared" si="36"/>
        <v>1.2501114718258066</v>
      </c>
      <c r="R62" s="3">
        <f t="shared" ref="R62:R93" si="46">IF($N62="Off",$F62,$F62+IF(AND($D62="Eolien",OR($N62="FiT",$N62="CR16")),10,20))</f>
        <v>2027</v>
      </c>
      <c r="S62" s="5">
        <f t="shared" si="38"/>
        <v>84.316666666666677</v>
      </c>
      <c r="T62" s="8">
        <f t="shared" si="39"/>
        <v>3.0775583333333341</v>
      </c>
      <c r="U62" s="8">
        <f t="shared" si="40"/>
        <v>3.1100877387349466</v>
      </c>
      <c r="V62" s="8">
        <f t="shared" si="41"/>
        <v>1.8490591227725808</v>
      </c>
      <c r="W62" s="44">
        <f t="shared" si="28"/>
        <v>48443</v>
      </c>
      <c r="X62" s="3">
        <f t="shared" si="42"/>
        <v>2032</v>
      </c>
    </row>
    <row r="63" spans="2:24" x14ac:dyDescent="0.25">
      <c r="B63" s="3" t="s">
        <v>103</v>
      </c>
      <c r="C63" s="3" t="str">
        <f>B63</f>
        <v>Plaine de Beaunay</v>
      </c>
      <c r="D63" s="3" t="s">
        <v>24</v>
      </c>
      <c r="E63" s="12">
        <v>42997</v>
      </c>
      <c r="F63" s="3">
        <f t="shared" si="31"/>
        <v>2017</v>
      </c>
      <c r="G63" s="5">
        <v>12.5</v>
      </c>
      <c r="H63" s="16">
        <f t="shared" si="43"/>
        <v>1</v>
      </c>
      <c r="I63" s="5">
        <f t="shared" si="32"/>
        <v>12.5</v>
      </c>
      <c r="J63" s="2">
        <f>VLOOKUP($C63,'Prod. et Profil'!$C:$R,'Prod. et Profil'!$E$1,FALSE)</f>
        <v>2264.0000800000003</v>
      </c>
      <c r="K63" s="8">
        <f t="shared" si="33"/>
        <v>28.300001000000005</v>
      </c>
      <c r="L63" s="16">
        <f>1-VLOOKUP($C63,'Prod. et Profil'!$C:$AR,INDEX('Prod. et Profil'!$AF$1:$AQ$3,1,MONTH($E63)),FALSE)+_xlfn.DAYS(EOMONTH($E63,0),$E63)/DAY(EOMONTH($E63,0))*VLOOKUP($C63,'Prod. et Profil'!$C:$AR,INDEX('Prod. et Profil'!$T$1:$AE$3,1,MONTH($E63)),FALSE)</f>
        <v>0.33945079601469513</v>
      </c>
      <c r="M63" s="28">
        <f t="shared" si="34"/>
        <v>9.6064578666666698</v>
      </c>
      <c r="N63" s="2" t="s">
        <v>25</v>
      </c>
      <c r="O63" s="3">
        <v>85.8</v>
      </c>
      <c r="P63" s="8">
        <f t="shared" si="35"/>
        <v>2.4281400858</v>
      </c>
      <c r="Q63" s="8">
        <f t="shared" si="36"/>
        <v>0.82423408496000028</v>
      </c>
      <c r="R63" s="3">
        <f t="shared" si="46"/>
        <v>2027</v>
      </c>
      <c r="S63" s="5">
        <f t="shared" si="38"/>
        <v>85.8</v>
      </c>
      <c r="T63" s="8">
        <f t="shared" si="39"/>
        <v>2.4281400858</v>
      </c>
      <c r="U63" s="8">
        <f t="shared" si="40"/>
        <v>2.4281400858000008</v>
      </c>
      <c r="V63" s="8">
        <f t="shared" si="41"/>
        <v>1.6039060008400001</v>
      </c>
      <c r="W63" s="44">
        <f t="shared" si="28"/>
        <v>48475</v>
      </c>
      <c r="X63" s="3">
        <f t="shared" si="42"/>
        <v>2032</v>
      </c>
    </row>
    <row r="64" spans="2:24" x14ac:dyDescent="0.25">
      <c r="B64" s="3" t="s">
        <v>104</v>
      </c>
      <c r="C64" s="3" t="s">
        <v>105</v>
      </c>
      <c r="D64" s="3" t="s">
        <v>24</v>
      </c>
      <c r="E64" s="12">
        <v>43060</v>
      </c>
      <c r="F64" s="3">
        <f t="shared" si="31"/>
        <v>2017</v>
      </c>
      <c r="G64" s="3">
        <v>23.1</v>
      </c>
      <c r="H64" s="16">
        <f t="shared" si="43"/>
        <v>1</v>
      </c>
      <c r="I64" s="3">
        <f t="shared" si="32"/>
        <v>23.1</v>
      </c>
      <c r="J64" s="2">
        <f>VLOOKUP($C64,'Prod. et Profil'!$C:$R,'Prod. et Profil'!$E$1,FALSE)</f>
        <v>2607.1861038961038</v>
      </c>
      <c r="K64" s="8">
        <f t="shared" si="33"/>
        <v>60.225999000000002</v>
      </c>
      <c r="L64" s="16">
        <f>1-VLOOKUP($C64,'Prod. et Profil'!$C:$AR,INDEX('Prod. et Profil'!$AF$1:$AQ$3,1,MONTH($E64)),FALSE)+_xlfn.DAYS(EOMONTH($E64,0),$E64)/DAY(EOMONTH($E64,0))*VLOOKUP($C64,'Prod. et Profil'!$C:$AR,INDEX('Prod. et Profil'!$T$1:$AE$3,1,MONTH($E64)),FALSE)</f>
        <v>0.13873717229663543</v>
      </c>
      <c r="M64" s="28">
        <f t="shared" si="34"/>
        <v>8.3555847999999937</v>
      </c>
      <c r="N64" s="2" t="s">
        <v>25</v>
      </c>
      <c r="O64" s="3">
        <f>O63</f>
        <v>85.8</v>
      </c>
      <c r="P64" s="8">
        <f t="shared" si="35"/>
        <v>5.1673907141999997</v>
      </c>
      <c r="Q64" s="8">
        <f t="shared" si="36"/>
        <v>0.71690917583999947</v>
      </c>
      <c r="R64" s="3">
        <f t="shared" si="46"/>
        <v>2027</v>
      </c>
      <c r="S64" s="5">
        <f t="shared" si="38"/>
        <v>76.580218376623407</v>
      </c>
      <c r="T64" s="8">
        <f t="shared" si="39"/>
        <v>4.6121201553703033</v>
      </c>
      <c r="U64" s="8">
        <f t="shared" si="40"/>
        <v>5.090354047008395</v>
      </c>
      <c r="V64" s="8">
        <f t="shared" si="41"/>
        <v>3.9722476467219079</v>
      </c>
      <c r="W64" s="44">
        <f t="shared" si="28"/>
        <v>48538</v>
      </c>
      <c r="X64" s="3">
        <f t="shared" si="42"/>
        <v>2032</v>
      </c>
    </row>
    <row r="65" spans="1:24" x14ac:dyDescent="0.25">
      <c r="B65" s="3" t="s">
        <v>106</v>
      </c>
      <c r="C65" s="3" t="str">
        <f t="shared" ref="C65:C71" si="47">B65</f>
        <v>CdG</v>
      </c>
      <c r="D65" s="3" t="s">
        <v>24</v>
      </c>
      <c r="E65" s="12">
        <v>43075</v>
      </c>
      <c r="F65" s="3">
        <f t="shared" si="31"/>
        <v>2017</v>
      </c>
      <c r="G65" s="3">
        <v>29.7</v>
      </c>
      <c r="H65" s="16">
        <f t="shared" si="43"/>
        <v>1</v>
      </c>
      <c r="I65" s="3">
        <f t="shared" si="32"/>
        <v>29.7</v>
      </c>
      <c r="J65" s="2">
        <f>VLOOKUP($C65,'Prod. et Profil'!$C:$R,'Prod. et Profil'!$E$1,FALSE)</f>
        <v>2424.006734006734</v>
      </c>
      <c r="K65" s="8">
        <f t="shared" si="33"/>
        <v>71.992999999999995</v>
      </c>
      <c r="L65" s="16">
        <f>1-VLOOKUP($C65,'Prod. et Profil'!$C:$AR,INDEX('Prod. et Profil'!$AF$1:$AQ$3,1,MONTH($E65)),FALSE)+_xlfn.DAYS(EOMONTH($E65,0),$E65)/DAY(EOMONTH($E65,0))*VLOOKUP($C65,'Prod. et Profil'!$C:$AR,INDEX('Prod. et Profil'!$T$1:$AE$3,1,MONTH($E65)),FALSE)</f>
        <v>9.0598929196969422E-2</v>
      </c>
      <c r="M65" s="28">
        <f t="shared" si="34"/>
        <v>6.5224887096774191</v>
      </c>
      <c r="N65" s="2" t="s">
        <v>25</v>
      </c>
      <c r="O65" s="3">
        <f>O64</f>
        <v>85.8</v>
      </c>
      <c r="P65" s="8">
        <f t="shared" si="35"/>
        <v>6.1769993999999997</v>
      </c>
      <c r="Q65" s="8">
        <f t="shared" si="36"/>
        <v>0.55962953129032256</v>
      </c>
      <c r="R65" s="3">
        <f t="shared" si="46"/>
        <v>2027</v>
      </c>
      <c r="S65" s="5">
        <f t="shared" si="38"/>
        <v>84.731700336700357</v>
      </c>
      <c r="T65" s="8">
        <f t="shared" si="39"/>
        <v>6.1000893023400682</v>
      </c>
      <c r="U65" s="8">
        <f t="shared" si="40"/>
        <v>6.1700314275075749</v>
      </c>
      <c r="V65" s="8">
        <f t="shared" si="41"/>
        <v>5.5474277435421699</v>
      </c>
      <c r="W65" s="44">
        <f t="shared" si="28"/>
        <v>48553</v>
      </c>
      <c r="X65" s="3">
        <f t="shared" si="42"/>
        <v>2032</v>
      </c>
    </row>
    <row r="66" spans="1:24" x14ac:dyDescent="0.25">
      <c r="B66" s="3" t="s">
        <v>107</v>
      </c>
      <c r="C66" s="3" t="str">
        <f t="shared" si="47"/>
        <v>MET</v>
      </c>
      <c r="D66" s="3" t="s">
        <v>24</v>
      </c>
      <c r="E66" s="12">
        <v>43367</v>
      </c>
      <c r="F66" s="3">
        <f t="shared" si="31"/>
        <v>2018</v>
      </c>
      <c r="G66" s="3">
        <v>33</v>
      </c>
      <c r="H66" s="16">
        <f t="shared" si="43"/>
        <v>1</v>
      </c>
      <c r="I66" s="3">
        <f t="shared" si="32"/>
        <v>33</v>
      </c>
      <c r="J66" s="2">
        <f>VLOOKUP($C66,'Prod. et Profil'!$C:$R,'Prod. et Profil'!$E$1,FALSE)</f>
        <v>2792.4242727272731</v>
      </c>
      <c r="K66" s="8">
        <f t="shared" si="33"/>
        <v>92.150001000000017</v>
      </c>
      <c r="L66" s="16">
        <f>1-VLOOKUP($C66,'Prod. et Profil'!$C:$AR,INDEX('Prod. et Profil'!$AF$1:$AQ$3,1,MONTH($E66)),FALSE)+_xlfn.DAYS(EOMONTH($E66,0),$E66)/DAY(EOMONTH($E66,0))*VLOOKUP($C66,'Prod. et Profil'!$C:$AR,INDEX('Prod. et Profil'!$T$1:$AE$3,1,MONTH($E66)),FALSE)</f>
        <v>0.31932043060965365</v>
      </c>
      <c r="M66" s="28">
        <f t="shared" si="34"/>
        <v>29.42537800000002</v>
      </c>
      <c r="N66" s="2" t="s">
        <v>25</v>
      </c>
      <c r="O66" s="3">
        <v>83</v>
      </c>
      <c r="P66" s="8">
        <f t="shared" si="35"/>
        <v>7.648450083000002</v>
      </c>
      <c r="Q66" s="8">
        <f t="shared" si="36"/>
        <v>2.4423063740000015</v>
      </c>
      <c r="R66" s="3">
        <f t="shared" si="46"/>
        <v>2028</v>
      </c>
      <c r="S66" s="5">
        <f t="shared" si="38"/>
        <v>68.284089772727256</v>
      </c>
      <c r="T66" s="8">
        <f t="shared" si="39"/>
        <v>6.2923789408409077</v>
      </c>
      <c r="U66" s="8">
        <f t="shared" si="40"/>
        <v>7.2154288619484337</v>
      </c>
      <c r="V66" s="8">
        <f t="shared" si="41"/>
        <v>4.2830937878924722</v>
      </c>
      <c r="W66" s="44">
        <f t="shared" si="28"/>
        <v>48845</v>
      </c>
      <c r="X66" s="3">
        <f t="shared" si="42"/>
        <v>2033</v>
      </c>
    </row>
    <row r="67" spans="1:24" x14ac:dyDescent="0.25">
      <c r="B67" s="3" t="s">
        <v>108</v>
      </c>
      <c r="C67" s="3" t="str">
        <f t="shared" si="47"/>
        <v>Noyer Bucamps</v>
      </c>
      <c r="D67" s="3" t="s">
        <v>24</v>
      </c>
      <c r="E67" s="12">
        <v>43405</v>
      </c>
      <c r="F67" s="3">
        <f t="shared" ref="F67:F98" si="48">YEAR(E67)</f>
        <v>2018</v>
      </c>
      <c r="G67" s="5">
        <v>10</v>
      </c>
      <c r="H67" s="16">
        <f t="shared" si="43"/>
        <v>1</v>
      </c>
      <c r="I67" s="5">
        <f t="shared" ref="I67:I98" si="49">G67*H67</f>
        <v>10</v>
      </c>
      <c r="J67" s="2">
        <f>VLOOKUP($C67,'Prod. et Profil'!$C:$R,'Prod. et Profil'!$E$1,FALSE)</f>
        <v>2659.9998000000001</v>
      </c>
      <c r="K67" s="8">
        <f t="shared" ref="K67:K98" si="50">I67*J67/1000</f>
        <v>26.599997999999999</v>
      </c>
      <c r="L67" s="16">
        <f>1-VLOOKUP($C67,'Prod. et Profil'!$C:$AR,INDEX('Prod. et Profil'!$AF$1:$AQ$3,1,MONTH($E67)),FALSE)+_xlfn.DAYS(EOMONTH($E67,0),$E67)/DAY(EOMONTH($E67,0))*VLOOKUP($C67,'Prod. et Profil'!$C:$AR,INDEX('Prod. et Profil'!$T$1:$AE$3,1,MONTH($E67)),FALSE)</f>
        <v>0.20138913794905799</v>
      </c>
      <c r="M67" s="28">
        <f t="shared" ref="M67:M74" si="51">L67*K67</f>
        <v>5.3569506666666662</v>
      </c>
      <c r="N67" s="2" t="s">
        <v>109</v>
      </c>
      <c r="O67" s="3">
        <f>80.97+2.8</f>
        <v>83.77</v>
      </c>
      <c r="P67" s="8">
        <f t="shared" ref="P67:P98" si="52">IF($N67="Off","Off",O67*K67/1000)</f>
        <v>2.22828183246</v>
      </c>
      <c r="Q67" s="8">
        <f t="shared" ref="Q67:Q98" si="53">IF($N67="Off","Off",O67*M67/1000)</f>
        <v>0.44875175734666656</v>
      </c>
      <c r="R67" s="3">
        <f t="shared" si="46"/>
        <v>2028</v>
      </c>
      <c r="S67" s="5">
        <f t="shared" ref="S67:S74" si="54">IF($N67="Off","Off",IF(AND($D67="Eolien",OR($N67="FiT",$N67="CR16")),IF(J67&lt;=2400,$O67,IF(AND(J67&gt;2400,J67&lt;=2800),((($O67-68)/(2400-2800))*J67)+(((2400*68)-(2800*$O67))/(2400-2800)),IF(AND(J67&gt;2800,J67&lt;=3600),(((68-28)/(2800-3600))*J67)+(((2800*28)-(3600*68))/(2800-3600)),28))),$O67))</f>
        <v>73.51950788500001</v>
      </c>
      <c r="T67" s="8">
        <f t="shared" ref="T67:T98" si="55">IF($N67="Off","Off",S67*K67/1000)</f>
        <v>1.9556187627019845</v>
      </c>
      <c r="U67" s="8">
        <f t="shared" ref="U67:U98" si="56">IF($N67="Off","Off",((1-L67)*O67+L67*S67)*K67/1000)</f>
        <v>2.1733704518908894</v>
      </c>
      <c r="V67" s="8">
        <f t="shared" ref="V67:V98" si="57">IF($N67="Off","Off",S67*(K67-M67)/1000)</f>
        <v>1.5617783859244285</v>
      </c>
      <c r="W67" s="44">
        <f t="shared" si="28"/>
        <v>48883</v>
      </c>
      <c r="X67" s="3">
        <f t="shared" ref="X67:X98" si="58">YEAR(W67)</f>
        <v>2033</v>
      </c>
    </row>
    <row r="68" spans="1:24" x14ac:dyDescent="0.25">
      <c r="B68" s="3" t="s">
        <v>110</v>
      </c>
      <c r="C68" s="3" t="str">
        <f t="shared" si="47"/>
        <v>HC</v>
      </c>
      <c r="D68" s="3" t="s">
        <v>24</v>
      </c>
      <c r="E68" s="12">
        <v>43409</v>
      </c>
      <c r="F68" s="3">
        <f t="shared" si="48"/>
        <v>2018</v>
      </c>
      <c r="G68" s="3">
        <v>19.8</v>
      </c>
      <c r="H68" s="16">
        <f t="shared" si="43"/>
        <v>1</v>
      </c>
      <c r="I68" s="3">
        <f t="shared" si="49"/>
        <v>19.8</v>
      </c>
      <c r="J68" s="2">
        <f>VLOOKUP($C68,'Prod. et Profil'!$C:$R,'Prod. et Profil'!$E$1,FALSE)</f>
        <v>3331.3130808080805</v>
      </c>
      <c r="K68" s="8">
        <f t="shared" si="50"/>
        <v>65.959998999999996</v>
      </c>
      <c r="L68" s="16">
        <f>1-VLOOKUP($C68,'Prod. et Profil'!$C:$AR,INDEX('Prod. et Profil'!$AF$1:$AQ$3,1,MONTH($E68)),FALSE)+_xlfn.DAYS(EOMONTH($E68,0),$E68)/DAY(EOMONTH($E68,0))*VLOOKUP($C68,'Prod. et Profil'!$C:$AR,INDEX('Prod. et Profil'!$T$1:$AE$3,1,MONTH($E68)),FALSE)</f>
        <v>0.1901116589364007</v>
      </c>
      <c r="M68" s="28">
        <f t="shared" si="51"/>
        <v>12.539764833333331</v>
      </c>
      <c r="N68" s="2" t="s">
        <v>25</v>
      </c>
      <c r="O68" s="3">
        <v>82.5</v>
      </c>
      <c r="P68" s="8">
        <f t="shared" si="52"/>
        <v>5.4416999175000003</v>
      </c>
      <c r="Q68" s="8">
        <f t="shared" si="53"/>
        <v>1.0345305987499998</v>
      </c>
      <c r="R68" s="3">
        <f t="shared" si="46"/>
        <v>2028</v>
      </c>
      <c r="S68" s="5">
        <f t="shared" si="54"/>
        <v>41.434345959595959</v>
      </c>
      <c r="T68" s="8">
        <f t="shared" si="55"/>
        <v>2.7330094180606035</v>
      </c>
      <c r="U68" s="8">
        <f t="shared" si="56"/>
        <v>4.9267462731063087</v>
      </c>
      <c r="V68" s="8">
        <f t="shared" si="57"/>
        <v>2.213432463704295</v>
      </c>
      <c r="W68" s="44">
        <f t="shared" si="28"/>
        <v>48887</v>
      </c>
      <c r="X68" s="3">
        <f t="shared" si="58"/>
        <v>2033</v>
      </c>
    </row>
    <row r="69" spans="1:24" x14ac:dyDescent="0.25">
      <c r="B69" s="3" t="s">
        <v>111</v>
      </c>
      <c r="C69" s="3" t="str">
        <f t="shared" si="47"/>
        <v>Coteaux du Blaiseron</v>
      </c>
      <c r="D69" s="3" t="s">
        <v>24</v>
      </c>
      <c r="E69" s="12">
        <v>43413</v>
      </c>
      <c r="F69" s="3">
        <f t="shared" si="48"/>
        <v>2018</v>
      </c>
      <c r="G69" s="3">
        <v>25.6</v>
      </c>
      <c r="H69" s="16">
        <f t="shared" si="43"/>
        <v>1</v>
      </c>
      <c r="I69" s="3">
        <f t="shared" si="49"/>
        <v>25.6</v>
      </c>
      <c r="J69" s="2">
        <f>VLOOKUP($C69,'Prod. et Profil'!$C:$R,'Prod. et Profil'!$E$1,FALSE)</f>
        <v>1852.407585546875</v>
      </c>
      <c r="K69" s="8">
        <f t="shared" si="50"/>
        <v>47.421634190000006</v>
      </c>
      <c r="L69" s="16">
        <f>1-VLOOKUP($C69,'Prod. et Profil'!$C:$AR,INDEX('Prod. et Profil'!$AF$1:$AQ$3,1,MONTH($E69)),FALSE)+_xlfn.DAYS(EOMONTH($E69,0),$E69)/DAY(EOMONTH($E69,0))*VLOOKUP($C69,'Prod. et Profil'!$C:$AR,INDEX('Prod. et Profil'!$T$1:$AE$3,1,MONTH($E69)),FALSE)</f>
        <v>0.19175627409984047</v>
      </c>
      <c r="M69" s="28">
        <f t="shared" si="51"/>
        <v>9.0933958840000084</v>
      </c>
      <c r="N69" s="2" t="s">
        <v>25</v>
      </c>
      <c r="O69" s="3">
        <f>O68</f>
        <v>82.5</v>
      </c>
      <c r="P69" s="8">
        <f t="shared" si="52"/>
        <v>3.9122848206750005</v>
      </c>
      <c r="Q69" s="8">
        <f t="shared" si="53"/>
        <v>0.75020516043000063</v>
      </c>
      <c r="R69" s="3">
        <f t="shared" si="46"/>
        <v>2028</v>
      </c>
      <c r="S69" s="5">
        <f t="shared" si="54"/>
        <v>82.5</v>
      </c>
      <c r="T69" s="8">
        <f t="shared" si="55"/>
        <v>3.9122848206750005</v>
      </c>
      <c r="U69" s="8">
        <f t="shared" si="56"/>
        <v>3.9122848206750005</v>
      </c>
      <c r="V69" s="8">
        <f t="shared" si="57"/>
        <v>3.1620796602449994</v>
      </c>
      <c r="W69" s="44">
        <f t="shared" si="28"/>
        <v>48891</v>
      </c>
      <c r="X69" s="3">
        <f t="shared" si="58"/>
        <v>2033</v>
      </c>
    </row>
    <row r="70" spans="1:24" x14ac:dyDescent="0.25">
      <c r="B70" s="3" t="s">
        <v>112</v>
      </c>
      <c r="C70" s="3" t="str">
        <f t="shared" si="47"/>
        <v>Le Pelon</v>
      </c>
      <c r="D70" s="3" t="s">
        <v>24</v>
      </c>
      <c r="E70" s="12">
        <v>43466</v>
      </c>
      <c r="F70" s="3">
        <f t="shared" si="48"/>
        <v>2019</v>
      </c>
      <c r="G70" s="3">
        <v>10</v>
      </c>
      <c r="H70" s="16">
        <f t="shared" si="43"/>
        <v>1</v>
      </c>
      <c r="I70" s="3">
        <f t="shared" si="49"/>
        <v>10</v>
      </c>
      <c r="J70" s="2">
        <f>VLOOKUP($C70,'Prod. et Profil'!$C:$R,'Prod. et Profil'!$E$1,FALSE)</f>
        <v>2870</v>
      </c>
      <c r="K70" s="8">
        <f t="shared" si="50"/>
        <v>28.7</v>
      </c>
      <c r="L70" s="34">
        <f>1-VLOOKUP($C70,'Prod. et Profil'!$C:$AR,INDEX('Prod. et Profil'!$AF$1:$AQ$3,1,MONTH($E70)),FALSE)+_xlfn.DAYS(EOMONTH($E70,0),$E70)/DAY(EOMONTH($E70,0))*VLOOKUP($C70,'Prod. et Profil'!$C:$AR,INDEX('Prod. et Profil'!$T$1:$AE$3,1,MONTH($E70)),FALSE)</f>
        <v>0.99655489153647303</v>
      </c>
      <c r="M70" s="28">
        <f t="shared" si="51"/>
        <v>28.601125387096776</v>
      </c>
      <c r="N70" s="2" t="s">
        <v>109</v>
      </c>
      <c r="O70" s="3">
        <f>80.97+2.8</f>
        <v>83.77</v>
      </c>
      <c r="P70" s="8">
        <f t="shared" si="52"/>
        <v>2.4041989999999998</v>
      </c>
      <c r="Q70" s="8">
        <f t="shared" si="53"/>
        <v>2.3959162736770967</v>
      </c>
      <c r="R70" s="3">
        <f t="shared" si="46"/>
        <v>2029</v>
      </c>
      <c r="S70" s="5">
        <f t="shared" si="54"/>
        <v>64.5</v>
      </c>
      <c r="T70" s="8">
        <f t="shared" si="55"/>
        <v>1.8511499999999999</v>
      </c>
      <c r="U70" s="8">
        <f t="shared" si="56"/>
        <v>1.8530553137906451</v>
      </c>
      <c r="V70" s="8">
        <f t="shared" si="57"/>
        <v>6.3774125322579242E-3</v>
      </c>
      <c r="W70" s="44">
        <f t="shared" si="28"/>
        <v>48944</v>
      </c>
      <c r="X70" s="3">
        <f t="shared" si="58"/>
        <v>2033</v>
      </c>
    </row>
    <row r="71" spans="1:24" x14ac:dyDescent="0.25">
      <c r="B71" s="3" t="s">
        <v>113</v>
      </c>
      <c r="C71" s="3" t="str">
        <f t="shared" si="47"/>
        <v>SA</v>
      </c>
      <c r="D71" s="3" t="s">
        <v>24</v>
      </c>
      <c r="E71" s="12">
        <v>43466</v>
      </c>
      <c r="F71" s="3">
        <f t="shared" si="48"/>
        <v>2019</v>
      </c>
      <c r="G71" s="3">
        <v>23.1</v>
      </c>
      <c r="H71" s="16">
        <f t="shared" si="43"/>
        <v>1</v>
      </c>
      <c r="I71" s="3">
        <f t="shared" si="49"/>
        <v>23.1</v>
      </c>
      <c r="J71" s="2">
        <f>VLOOKUP($C71,'Prod. et Profil'!$C:$R,'Prod. et Profil'!$E$1,FALSE)</f>
        <v>2575.3246753246749</v>
      </c>
      <c r="K71" s="8">
        <f t="shared" si="50"/>
        <v>59.489999999999995</v>
      </c>
      <c r="L71" s="34">
        <f>1-VLOOKUP($C71,'Prod. et Profil'!$C:$AR,INDEX('Prod. et Profil'!$AF$1:$AQ$3,1,MONTH($E71)),FALSE)+_xlfn.DAYS(EOMONTH($E71,0),$E71)/DAY(EOMONTH($E71,0))*VLOOKUP($C71,'Prod. et Profil'!$C:$AR,INDEX('Prod. et Profil'!$T$1:$AE$3,1,MONTH($E71)),FALSE)</f>
        <v>0.99630866125507667</v>
      </c>
      <c r="M71" s="28">
        <f t="shared" si="51"/>
        <v>59.270402258064507</v>
      </c>
      <c r="N71" s="2" t="s">
        <v>109</v>
      </c>
      <c r="O71" s="3">
        <f>80.97+2.8</f>
        <v>83.77</v>
      </c>
      <c r="P71" s="8">
        <f t="shared" si="52"/>
        <v>4.9834772999999997</v>
      </c>
      <c r="Q71" s="8">
        <f t="shared" si="53"/>
        <v>4.9650815971580631</v>
      </c>
      <c r="R71" s="3">
        <f t="shared" si="46"/>
        <v>2029</v>
      </c>
      <c r="S71" s="5">
        <f t="shared" si="54"/>
        <v>76.857824675324707</v>
      </c>
      <c r="T71" s="8">
        <f t="shared" si="55"/>
        <v>4.572271989935067</v>
      </c>
      <c r="U71" s="8">
        <f t="shared" si="56"/>
        <v>4.5737898880282275</v>
      </c>
      <c r="V71" s="8">
        <f t="shared" si="57"/>
        <v>1.6877804748774899E-2</v>
      </c>
      <c r="W71" s="44">
        <f t="shared" si="28"/>
        <v>48944</v>
      </c>
      <c r="X71" s="3">
        <f t="shared" si="58"/>
        <v>2033</v>
      </c>
    </row>
    <row r="72" spans="1:24" x14ac:dyDescent="0.25">
      <c r="B72" s="3" t="s">
        <v>114</v>
      </c>
      <c r="C72" s="3" t="s">
        <v>115</v>
      </c>
      <c r="D72" s="3" t="s">
        <v>24</v>
      </c>
      <c r="E72" s="12">
        <v>43497</v>
      </c>
      <c r="F72" s="3">
        <f t="shared" si="48"/>
        <v>2019</v>
      </c>
      <c r="G72" s="3">
        <v>19.8</v>
      </c>
      <c r="H72" s="16">
        <f t="shared" si="43"/>
        <v>1</v>
      </c>
      <c r="I72" s="3">
        <f t="shared" si="49"/>
        <v>19.8</v>
      </c>
      <c r="J72" s="2">
        <f>VLOOKUP($C72,'Prod. et Profil'!$C:$R,'Prod. et Profil'!$E$1,FALSE)</f>
        <v>2681.818181818182</v>
      </c>
      <c r="K72" s="8">
        <f t="shared" si="50"/>
        <v>53.100000000000009</v>
      </c>
      <c r="L72" s="34">
        <f>1-VLOOKUP($C72,'Prod. et Profil'!$C:$AR,INDEX('Prod. et Profil'!$AF$1:$AQ$3,1,MONTH($E72)),FALSE)+_xlfn.DAYS(EOMONTH($E72,0),$E72)/DAY(EOMONTH($E72,0))*VLOOKUP($C72,'Prod. et Profil'!$C:$AR,INDEX('Prod. et Profil'!$T$1:$AE$3,1,MONTH($E72)),FALSE)</f>
        <v>0.87897040713694141</v>
      </c>
      <c r="M72" s="28">
        <f t="shared" si="51"/>
        <v>46.673328618971595</v>
      </c>
      <c r="N72" s="2" t="s">
        <v>109</v>
      </c>
      <c r="O72" s="3">
        <f>79.72+2.8</f>
        <v>82.52</v>
      </c>
      <c r="P72" s="8">
        <f t="shared" si="52"/>
        <v>4.3818120000000009</v>
      </c>
      <c r="Q72" s="8">
        <f t="shared" si="53"/>
        <v>3.8514830776375359</v>
      </c>
      <c r="R72" s="3">
        <f t="shared" si="46"/>
        <v>2029</v>
      </c>
      <c r="S72" s="5">
        <f t="shared" si="54"/>
        <v>72.290000000000006</v>
      </c>
      <c r="T72" s="8">
        <f t="shared" si="55"/>
        <v>3.8385990000000012</v>
      </c>
      <c r="U72" s="8">
        <f t="shared" si="56"/>
        <v>3.9043438482279216</v>
      </c>
      <c r="V72" s="8">
        <f t="shared" si="57"/>
        <v>0.46458407413454406</v>
      </c>
      <c r="W72" s="44">
        <f t="shared" ref="W72:W111" si="59">IF($N72="Off",$E72,EDATE(E72,IF(AND($D72="Eolien",OR($N72="FiT",$N72="CR16")),15*12,20*12))-1)</f>
        <v>48975</v>
      </c>
      <c r="X72" s="3">
        <f t="shared" si="58"/>
        <v>2034</v>
      </c>
    </row>
    <row r="73" spans="1:24" x14ac:dyDescent="0.25">
      <c r="B73" s="3" t="s">
        <v>116</v>
      </c>
      <c r="C73" s="3" t="str">
        <f>B73</f>
        <v>CAT</v>
      </c>
      <c r="D73" s="3" t="s">
        <v>24</v>
      </c>
      <c r="E73" s="12">
        <v>43617</v>
      </c>
      <c r="F73" s="3">
        <f t="shared" si="48"/>
        <v>2019</v>
      </c>
      <c r="G73" s="3">
        <v>10</v>
      </c>
      <c r="H73" s="16">
        <f t="shared" si="43"/>
        <v>1</v>
      </c>
      <c r="I73" s="3">
        <f t="shared" si="49"/>
        <v>10</v>
      </c>
      <c r="J73" s="2">
        <f>VLOOKUP($C73,'Prod. et Profil'!$C:$R,'Prod. et Profil'!$E$1,FALSE)</f>
        <v>3280.0001999999999</v>
      </c>
      <c r="K73" s="8">
        <f t="shared" si="50"/>
        <v>32.800001999999999</v>
      </c>
      <c r="L73" s="34">
        <f>1-VLOOKUP($C73,'Prod. et Profil'!$C:$AR,INDEX('Prod. et Profil'!$AF$1:$AQ$3,1,MONTH($E73)),FALSE)+_xlfn.DAYS(EOMONTH($E73,0),$E73)/DAY(EOMONTH($E73,0))*VLOOKUP($C73,'Prod. et Profil'!$C:$AR,INDEX('Prod. et Profil'!$T$1:$AE$3,1,MONTH($E73)),FALSE)</f>
        <v>0.54924968703762067</v>
      </c>
      <c r="M73" s="28">
        <f t="shared" si="51"/>
        <v>18.015390833333331</v>
      </c>
      <c r="N73" s="2" t="s">
        <v>117</v>
      </c>
      <c r="O73" s="36">
        <f>(72*28.078+40*($K73-28.078))/$K73+2.8</f>
        <v>70.193169061392126</v>
      </c>
      <c r="P73" s="8">
        <f t="shared" si="52"/>
        <v>2.3023360855999999</v>
      </c>
      <c r="Q73" s="8">
        <f t="shared" si="53"/>
        <v>1.2645573744712206</v>
      </c>
      <c r="R73" s="3">
        <f t="shared" si="46"/>
        <v>2039</v>
      </c>
      <c r="S73" s="5">
        <f t="shared" si="54"/>
        <v>70.193169061392126</v>
      </c>
      <c r="T73" s="8">
        <f t="shared" si="55"/>
        <v>2.3023360855999999</v>
      </c>
      <c r="U73" s="8">
        <f t="shared" si="56"/>
        <v>2.3023360855999999</v>
      </c>
      <c r="V73" s="8">
        <f t="shared" si="57"/>
        <v>1.0377787111287793</v>
      </c>
      <c r="W73" s="44">
        <f t="shared" si="59"/>
        <v>50921</v>
      </c>
      <c r="X73" s="3">
        <f t="shared" si="58"/>
        <v>2039</v>
      </c>
    </row>
    <row r="74" spans="1:24" x14ac:dyDescent="0.25">
      <c r="B74" s="3" t="s">
        <v>118</v>
      </c>
      <c r="C74" s="3" t="str">
        <f>B74</f>
        <v>RIB 1</v>
      </c>
      <c r="D74" s="3" t="s">
        <v>24</v>
      </c>
      <c r="E74" s="12">
        <v>43800</v>
      </c>
      <c r="F74" s="3">
        <f t="shared" si="48"/>
        <v>2019</v>
      </c>
      <c r="G74" s="3">
        <v>24.15</v>
      </c>
      <c r="H74" s="16">
        <f t="shared" ref="H74:H105" si="60">IF(OR($F74&lt;=2021,$G74&lt;0),100%,IF($F74=2022,80%,IF($F74=2023,70%,IF($F74=2024,50%,40%))))</f>
        <v>1</v>
      </c>
      <c r="I74" s="3">
        <f t="shared" si="49"/>
        <v>24.15</v>
      </c>
      <c r="J74" s="2">
        <f>VLOOKUP($C74,'Prod. et Profil'!$C:$R,'Prod. et Profil'!$E$1,FALSE)</f>
        <v>3080.7453416149069</v>
      </c>
      <c r="K74" s="8">
        <f t="shared" si="50"/>
        <v>74.400000000000006</v>
      </c>
      <c r="L74" s="34">
        <f>1-VLOOKUP($C74,'Prod. et Profil'!$C:$AR,INDEX('Prod. et Profil'!$AF$1:$AQ$3,1,MONTH($E74)),FALSE)+_xlfn.DAYS(EOMONTH($E74,0),$E74)/DAY(EOMONTH($E74,0))*VLOOKUP($C74,'Prod. et Profil'!$C:$AR,INDEX('Prod. et Profil'!$T$1:$AE$3,1,MONTH($E74)),FALSE)</f>
        <v>0.10740528095733611</v>
      </c>
      <c r="M74" s="28">
        <f t="shared" si="51"/>
        <v>7.9909529032258071</v>
      </c>
      <c r="N74" s="2" t="s">
        <v>109</v>
      </c>
      <c r="O74" s="3">
        <f>79.72+2.8</f>
        <v>82.52</v>
      </c>
      <c r="P74" s="8">
        <f t="shared" si="52"/>
        <v>6.1394880000000001</v>
      </c>
      <c r="Q74" s="8">
        <f t="shared" si="53"/>
        <v>0.65941343357419357</v>
      </c>
      <c r="R74" s="3">
        <f t="shared" si="46"/>
        <v>2029</v>
      </c>
      <c r="S74" s="5">
        <f t="shared" si="54"/>
        <v>53.962732919254648</v>
      </c>
      <c r="T74" s="8">
        <f t="shared" si="55"/>
        <v>4.0148273291925465</v>
      </c>
      <c r="U74" s="8">
        <f t="shared" si="56"/>
        <v>5.9112882237129227</v>
      </c>
      <c r="V74" s="8">
        <f t="shared" si="57"/>
        <v>3.5836136719054297</v>
      </c>
      <c r="W74" s="44">
        <f t="shared" si="59"/>
        <v>49278</v>
      </c>
      <c r="X74" s="3">
        <f t="shared" si="58"/>
        <v>2034</v>
      </c>
    </row>
    <row r="75" spans="1:24" x14ac:dyDescent="0.25">
      <c r="B75" s="22" t="s">
        <v>119</v>
      </c>
      <c r="C75" s="22" t="str">
        <f>B75</f>
        <v>Cham Longe 1 - off</v>
      </c>
      <c r="D75" s="22" t="str">
        <f>VLOOKUP("Cham Longe 1",$B:$X,D$1,FALSE)</f>
        <v>Eolien</v>
      </c>
      <c r="E75" s="23">
        <v>43936</v>
      </c>
      <c r="F75" s="22">
        <f t="shared" si="48"/>
        <v>2020</v>
      </c>
      <c r="G75" s="22">
        <f>-VLOOKUP("Cham Longe 1",$B:$X,G$1,FALSE)</f>
        <v>-18</v>
      </c>
      <c r="H75" s="21">
        <f t="shared" si="60"/>
        <v>1</v>
      </c>
      <c r="I75" s="22">
        <f t="shared" si="49"/>
        <v>-18</v>
      </c>
      <c r="J75" s="24">
        <f>VLOOKUP($C75,'Prod. et Profil'!$C:$R,'Prod. et Profil'!$E$1,FALSE)</f>
        <v>3033.3333333333335</v>
      </c>
      <c r="K75" s="25">
        <f t="shared" si="50"/>
        <v>-54.6</v>
      </c>
      <c r="L75" s="21">
        <f>1-VLOOKUP($C75,'Prod. et Profil'!$C:$AR,INDEX('Prod. et Profil'!$AF$1:$AQ$3,1,MONTH($E75)),FALSE)+_xlfn.DAYS(EOMONTH($E75,0),$E75)/DAY(EOMONTH($E75,0))*VLOOKUP($C75,'Prod. et Profil'!$C:$AR,INDEX('Prod. et Profil'!$T$1:$AE$3,1,MONTH($E75)),FALSE)</f>
        <v>0.69780219780219777</v>
      </c>
      <c r="M75" s="43">
        <f>-M8</f>
        <v>-0.89032258064516745</v>
      </c>
      <c r="N75" s="24" t="s">
        <v>120</v>
      </c>
      <c r="O75" s="26">
        <v>0</v>
      </c>
      <c r="P75" s="25" t="str">
        <f t="shared" si="52"/>
        <v>Off</v>
      </c>
      <c r="Q75" s="25" t="str">
        <f t="shared" si="53"/>
        <v>Off</v>
      </c>
      <c r="R75" s="22">
        <f t="shared" si="46"/>
        <v>2020</v>
      </c>
      <c r="S75" s="26" t="str">
        <f>IF($N75="Off","Off",IF(AND($D75="Eolien",OR($N75="FiT",$N75="CR16")),IF(J75&lt;=2400,82,IF(AND(J75&gt;2400,J75&lt;=2800),(((82-68)/(2400-2800))*J75)+(((2400*68)-(2800*82))/(2400-2800)),IF(AND(J75&gt;2800,J75&lt;=3600),(((68-28)/(2800-3600))*J75)+(((2800*28)-(3600*68))/(2800-3600)),28))),$O75))</f>
        <v>Off</v>
      </c>
      <c r="T75" s="25" t="str">
        <f t="shared" si="55"/>
        <v>Off</v>
      </c>
      <c r="U75" s="25" t="str">
        <f t="shared" si="56"/>
        <v>Off</v>
      </c>
      <c r="V75" s="25" t="str">
        <f t="shared" si="57"/>
        <v>Off</v>
      </c>
      <c r="W75" s="46">
        <f t="shared" si="59"/>
        <v>43936</v>
      </c>
      <c r="X75" s="22">
        <f t="shared" si="58"/>
        <v>2020</v>
      </c>
    </row>
    <row r="76" spans="1:24" x14ac:dyDescent="0.25">
      <c r="B76" s="3" t="s">
        <v>121</v>
      </c>
      <c r="C76" s="3" t="str">
        <f>B76</f>
        <v>XSAN</v>
      </c>
      <c r="D76" s="3" t="s">
        <v>24</v>
      </c>
      <c r="E76" s="12">
        <v>44075</v>
      </c>
      <c r="F76" s="3">
        <f t="shared" si="48"/>
        <v>2020</v>
      </c>
      <c r="G76" s="3">
        <v>15</v>
      </c>
      <c r="H76" s="16">
        <f t="shared" si="60"/>
        <v>1</v>
      </c>
      <c r="I76" s="3">
        <f t="shared" si="49"/>
        <v>15</v>
      </c>
      <c r="J76" s="2">
        <f>VLOOKUP($C76,'Prod. et Profil'!$C:$R,'Prod. et Profil'!$E$1,FALSE)</f>
        <v>3050.1333333333332</v>
      </c>
      <c r="K76" s="8">
        <f t="shared" si="50"/>
        <v>45.752000000000002</v>
      </c>
      <c r="L76" s="34">
        <f>1-VLOOKUP($C76,'Prod. et Profil'!$C:$AR,INDEX('Prod. et Profil'!$AF$1:$AQ$3,1,MONTH($E76)),FALSE)+_xlfn.DAYS(EOMONTH($E76,0),$E76)/DAY(EOMONTH($E76,0))*VLOOKUP($C76,'Prod. et Profil'!$C:$AR,INDEX('Prod. et Profil'!$T$1:$AE$3,1,MONTH($E76)),FALSE)</f>
        <v>0.36321333333333339</v>
      </c>
      <c r="M76" s="28">
        <f t="shared" ref="M76:M111" si="61">L76*K76</f>
        <v>16.617736426666671</v>
      </c>
      <c r="N76" s="2" t="s">
        <v>122</v>
      </c>
      <c r="O76" s="3">
        <v>69.849999999999994</v>
      </c>
      <c r="P76" s="8">
        <f t="shared" si="52"/>
        <v>3.1957772000000002</v>
      </c>
      <c r="Q76" s="8">
        <f t="shared" si="53"/>
        <v>1.160748889402667</v>
      </c>
      <c r="R76" s="3">
        <f t="shared" si="46"/>
        <v>2040</v>
      </c>
      <c r="S76" s="5">
        <f t="shared" ref="S76:S83" si="62">IF($N76="Off","Off",IF(AND($D76="Eolien",OR($N76="FiT",$N76="CR16")),IF(J76&lt;=2400,$O76,IF(AND(J76&gt;2400,J76&lt;=2800),((($O76-68)/(2400-2800))*J76)+(((2400*68)-(2800*$O76))/(2400-2800)),IF(AND(J76&gt;2800,J76&lt;=3600),(((68-28)/(2800-3600))*J76)+(((2800*28)-(3600*68))/(2800-3600)),28))),$O76))</f>
        <v>69.849999999999994</v>
      </c>
      <c r="T76" s="8">
        <f t="shared" si="55"/>
        <v>3.1957772000000002</v>
      </c>
      <c r="U76" s="8">
        <f t="shared" si="56"/>
        <v>3.1957772000000002</v>
      </c>
      <c r="V76" s="8">
        <f t="shared" si="57"/>
        <v>2.0350283105973332</v>
      </c>
      <c r="W76" s="44">
        <f t="shared" si="59"/>
        <v>51379</v>
      </c>
      <c r="X76" s="3">
        <f t="shared" si="58"/>
        <v>2040</v>
      </c>
    </row>
    <row r="77" spans="1:24" x14ac:dyDescent="0.25">
      <c r="B77" s="9" t="s">
        <v>123</v>
      </c>
      <c r="C77" s="3" t="str">
        <f>B77</f>
        <v>Blanches Fosses</v>
      </c>
      <c r="D77" s="9" t="s">
        <v>24</v>
      </c>
      <c r="E77" s="12">
        <v>44136</v>
      </c>
      <c r="F77" s="3">
        <f t="shared" si="48"/>
        <v>2020</v>
      </c>
      <c r="G77" s="5">
        <f>5*2.2</f>
        <v>11</v>
      </c>
      <c r="H77" s="16">
        <f t="shared" si="60"/>
        <v>1</v>
      </c>
      <c r="I77" s="5">
        <f t="shared" si="49"/>
        <v>11</v>
      </c>
      <c r="J77" s="2">
        <f>VLOOKUP($C77,'Prod. et Profil'!$C:$R,'Prod. et Profil'!$E$1,FALSE)</f>
        <v>2782.181818181818</v>
      </c>
      <c r="K77" s="8">
        <f t="shared" si="50"/>
        <v>30.603999999999999</v>
      </c>
      <c r="L77" s="34">
        <f>1-VLOOKUP($C77,'Prod. et Profil'!$C:$AR,INDEX('Prod. et Profil'!$AF$1:$AQ$3,1,MONTH($E77)),FALSE)+_xlfn.DAYS(EOMONTH($E77,0),$E77)/DAY(EOMONTH($E77,0))*VLOOKUP($C77,'Prod. et Profil'!$C:$AR,INDEX('Prod. et Profil'!$T$1:$AE$3,1,MONTH($E77)),FALSE)</f>
        <v>0.19787604395544889</v>
      </c>
      <c r="M77" s="41">
        <f t="shared" si="61"/>
        <v>6.0557984492125581</v>
      </c>
      <c r="N77" s="10" t="s">
        <v>117</v>
      </c>
      <c r="O77" s="36">
        <f>(72*30.87+40*($K77-30.87))/$K77+2.8</f>
        <v>75.078133577310155</v>
      </c>
      <c r="P77" s="8">
        <f t="shared" si="52"/>
        <v>2.2976911999999996</v>
      </c>
      <c r="Q77" s="8">
        <f t="shared" si="53"/>
        <v>0.45465804488724815</v>
      </c>
      <c r="R77" s="3">
        <f t="shared" si="46"/>
        <v>2040</v>
      </c>
      <c r="S77" s="5">
        <f t="shared" si="62"/>
        <v>75.078133577310155</v>
      </c>
      <c r="T77" s="8">
        <f t="shared" si="55"/>
        <v>2.2976911999999996</v>
      </c>
      <c r="U77" s="8">
        <f t="shared" si="56"/>
        <v>2.2976911999999996</v>
      </c>
      <c r="V77" s="8">
        <f t="shared" si="57"/>
        <v>1.8430331551127517</v>
      </c>
      <c r="W77" s="44">
        <f t="shared" si="59"/>
        <v>51440</v>
      </c>
      <c r="X77" s="3">
        <f t="shared" si="58"/>
        <v>2040</v>
      </c>
    </row>
    <row r="78" spans="1:24" x14ac:dyDescent="0.25">
      <c r="B78" s="3" t="s">
        <v>124</v>
      </c>
      <c r="C78" s="3" t="s">
        <v>124</v>
      </c>
      <c r="D78" s="3" t="s">
        <v>24</v>
      </c>
      <c r="E78" s="12">
        <v>44166</v>
      </c>
      <c r="F78" s="3">
        <f t="shared" si="48"/>
        <v>2020</v>
      </c>
      <c r="G78" s="3">
        <f>5*3.45</f>
        <v>17.25</v>
      </c>
      <c r="H78" s="16">
        <f t="shared" si="60"/>
        <v>1</v>
      </c>
      <c r="I78" s="3">
        <f t="shared" si="49"/>
        <v>17.25</v>
      </c>
      <c r="J78" s="2">
        <f>VLOOKUP($C78,'Prod. et Profil'!$C:$R,'Prod. et Profil'!$E$1,FALSE)</f>
        <v>2649.2753623188405</v>
      </c>
      <c r="K78" s="8">
        <f t="shared" si="50"/>
        <v>45.7</v>
      </c>
      <c r="L78" s="34">
        <f>1-VLOOKUP($C78,'Prod. et Profil'!$C:$AR,INDEX('Prod. et Profil'!$AF$1:$AQ$3,1,MONTH($E78)),FALSE)+_xlfn.DAYS(EOMONTH($E78,0),$E78)/DAY(EOMONTH($E78,0))*VLOOKUP($C78,'Prod. et Profil'!$C:$AR,INDEX('Prod. et Profil'!$T$1:$AE$3,1,MONTH($E78)),FALSE)</f>
        <v>0.10790865454771144</v>
      </c>
      <c r="M78" s="28">
        <f t="shared" si="61"/>
        <v>4.9314255128304127</v>
      </c>
      <c r="N78" s="2" t="s">
        <v>122</v>
      </c>
      <c r="O78" s="3">
        <v>65.900000000000006</v>
      </c>
      <c r="P78" s="8">
        <f t="shared" si="52"/>
        <v>3.0116300000000007</v>
      </c>
      <c r="Q78" s="8">
        <f t="shared" si="53"/>
        <v>0.32498094129552424</v>
      </c>
      <c r="R78" s="3">
        <f t="shared" si="46"/>
        <v>2040</v>
      </c>
      <c r="S78" s="5">
        <f t="shared" si="62"/>
        <v>65.900000000000006</v>
      </c>
      <c r="T78" s="8">
        <f t="shared" si="55"/>
        <v>3.0116300000000007</v>
      </c>
      <c r="U78" s="8">
        <f t="shared" si="56"/>
        <v>3.0116300000000007</v>
      </c>
      <c r="V78" s="8">
        <f t="shared" si="57"/>
        <v>2.686649058704476</v>
      </c>
      <c r="W78" s="44">
        <f t="shared" si="59"/>
        <v>51470</v>
      </c>
      <c r="X78" s="3">
        <f t="shared" si="58"/>
        <v>2040</v>
      </c>
    </row>
    <row r="79" spans="1:24" x14ac:dyDescent="0.25">
      <c r="A79" s="3"/>
      <c r="B79" s="3" t="s">
        <v>125</v>
      </c>
      <c r="C79" s="3" t="str">
        <f>B79</f>
        <v>Cham Longe 1 - Repowering</v>
      </c>
      <c r="D79" s="3" t="s">
        <v>24</v>
      </c>
      <c r="E79" s="12">
        <v>44197</v>
      </c>
      <c r="F79" s="3">
        <f t="shared" si="48"/>
        <v>2021</v>
      </c>
      <c r="G79" s="3">
        <v>35.35</v>
      </c>
      <c r="H79" s="16">
        <f t="shared" si="60"/>
        <v>1</v>
      </c>
      <c r="I79" s="3">
        <f t="shared" si="49"/>
        <v>35.35</v>
      </c>
      <c r="J79" s="2">
        <f>VLOOKUP($C79,'Prod. et Profil'!$C:$R,'Prod. et Profil'!$E$1,FALSE)</f>
        <v>2746.8175388967466</v>
      </c>
      <c r="K79" s="8">
        <f t="shared" si="50"/>
        <v>97.1</v>
      </c>
      <c r="L79" s="16">
        <f>1-VLOOKUP($C79,'Prod. et Profil'!$C:$AR,INDEX('Prod. et Profil'!$AF$1:$AQ$3,1,MONTH($E79)),FALSE)+_xlfn.DAYS(EOMONTH($E79,0),$E79)/DAY(EOMONTH($E79,0))*VLOOKUP($C79,'Prod. et Profil'!$C:$AR,INDEX('Prod. et Profil'!$T$1:$AE$3,1,MONTH($E79)),FALSE)</f>
        <v>0.99734136830911024</v>
      </c>
      <c r="M79" s="28">
        <f t="shared" si="61"/>
        <v>96.841846862814606</v>
      </c>
      <c r="N79" s="2" t="s">
        <v>122</v>
      </c>
      <c r="O79" s="3">
        <v>72.849999999999994</v>
      </c>
      <c r="P79" s="8">
        <f t="shared" si="52"/>
        <v>7.0737349999999983</v>
      </c>
      <c r="Q79" s="8">
        <f t="shared" si="53"/>
        <v>7.0549285439560432</v>
      </c>
      <c r="R79" s="3">
        <f t="shared" si="46"/>
        <v>2041</v>
      </c>
      <c r="S79" s="5">
        <f t="shared" si="62"/>
        <v>72.849999999999994</v>
      </c>
      <c r="T79" s="8">
        <f t="shared" si="55"/>
        <v>7.0737349999999983</v>
      </c>
      <c r="U79" s="8">
        <f t="shared" si="56"/>
        <v>7.0737349999999983</v>
      </c>
      <c r="V79" s="8">
        <f t="shared" si="57"/>
        <v>1.880645604395555E-2</v>
      </c>
      <c r="W79" s="44">
        <f t="shared" si="59"/>
        <v>51501</v>
      </c>
      <c r="X79" s="3">
        <f t="shared" si="58"/>
        <v>2040</v>
      </c>
    </row>
    <row r="80" spans="1:24" x14ac:dyDescent="0.25">
      <c r="A80" s="3"/>
      <c r="B80" s="3" t="s">
        <v>126</v>
      </c>
      <c r="C80" s="3" t="str">
        <f>B80</f>
        <v>Bazougeais</v>
      </c>
      <c r="D80" s="3" t="s">
        <v>24</v>
      </c>
      <c r="E80" s="12">
        <v>44317</v>
      </c>
      <c r="F80" s="3">
        <f t="shared" si="48"/>
        <v>2021</v>
      </c>
      <c r="G80" s="3">
        <f>4*3</f>
        <v>12</v>
      </c>
      <c r="H80" s="16">
        <f t="shared" si="60"/>
        <v>1</v>
      </c>
      <c r="I80" s="3">
        <f t="shared" si="49"/>
        <v>12</v>
      </c>
      <c r="J80" s="2">
        <f>VLOOKUP($C80,'Prod. et Profil'!$C:$R,'Prod. et Profil'!$E$1,FALSE)</f>
        <v>2658.3333333333335</v>
      </c>
      <c r="K80" s="8">
        <f t="shared" si="50"/>
        <v>31.9</v>
      </c>
      <c r="L80" s="34">
        <f>1-VLOOKUP($C80,'Prod. et Profil'!$C:$AR,INDEX('Prod. et Profil'!$AF$1:$AQ$3,1,MONTH($E80)),FALSE)+_xlfn.DAYS(EOMONTH($E80,0),$E80)/DAY(EOMONTH($E80,0))*VLOOKUP($C80,'Prod. et Profil'!$C:$AR,INDEX('Prod. et Profil'!$T$1:$AE$3,1,MONTH($E80)),FALSE)</f>
        <v>0.60236785848612029</v>
      </c>
      <c r="M80" s="28">
        <f t="shared" si="61"/>
        <v>19.215534685707237</v>
      </c>
      <c r="N80" s="10" t="s">
        <v>117</v>
      </c>
      <c r="O80" s="3">
        <f>72+2.8</f>
        <v>74.8</v>
      </c>
      <c r="P80" s="8">
        <f t="shared" si="52"/>
        <v>2.38612</v>
      </c>
      <c r="Q80" s="8">
        <f t="shared" si="53"/>
        <v>1.4373219944909013</v>
      </c>
      <c r="R80" s="3">
        <f t="shared" si="46"/>
        <v>2041</v>
      </c>
      <c r="S80" s="5">
        <f t="shared" si="62"/>
        <v>74.8</v>
      </c>
      <c r="T80" s="8">
        <f t="shared" si="55"/>
        <v>2.38612</v>
      </c>
      <c r="U80" s="8">
        <f t="shared" si="56"/>
        <v>2.38612</v>
      </c>
      <c r="V80" s="8">
        <f t="shared" si="57"/>
        <v>0.94879800550909854</v>
      </c>
      <c r="W80" s="44">
        <f t="shared" si="59"/>
        <v>51621</v>
      </c>
      <c r="X80" s="3">
        <f t="shared" si="58"/>
        <v>2041</v>
      </c>
    </row>
    <row r="81" spans="1:24" x14ac:dyDescent="0.25">
      <c r="A81" s="3"/>
      <c r="B81" s="3" t="s">
        <v>127</v>
      </c>
      <c r="C81" s="3" t="s">
        <v>127</v>
      </c>
      <c r="D81" s="3" t="s">
        <v>24</v>
      </c>
      <c r="E81" s="12">
        <v>44440</v>
      </c>
      <c r="F81" s="3">
        <f t="shared" si="48"/>
        <v>2021</v>
      </c>
      <c r="G81" s="3">
        <f>4*3.45</f>
        <v>13.8</v>
      </c>
      <c r="H81" s="16">
        <f t="shared" si="60"/>
        <v>1</v>
      </c>
      <c r="I81" s="3">
        <f t="shared" si="49"/>
        <v>13.8</v>
      </c>
      <c r="J81" s="2">
        <f>VLOOKUP($C81,'Prod. et Profil'!$C:$R,'Prod. et Profil'!$E$1,FALSE)</f>
        <v>2905.797101449275</v>
      </c>
      <c r="K81" s="8">
        <f t="shared" si="50"/>
        <v>40.1</v>
      </c>
      <c r="L81" s="34">
        <f>1-VLOOKUP($C81,'Prod. et Profil'!$C:$AR,INDEX('Prod. et Profil'!$AF$1:$AQ$3,1,MONTH($E81)),FALSE)+_xlfn.DAYS(EOMONTH($E81,0),$E81)/DAY(EOMONTH($E81,0))*VLOOKUP($C81,'Prod. et Profil'!$C:$AR,INDEX('Prod. et Profil'!$T$1:$AE$3,1,MONTH($E81)),FALSE)</f>
        <v>0.36642228452210196</v>
      </c>
      <c r="M81" s="28">
        <f t="shared" si="61"/>
        <v>14.693533609336288</v>
      </c>
      <c r="N81" s="2" t="s">
        <v>122</v>
      </c>
      <c r="O81" s="3">
        <v>67.900000000000006</v>
      </c>
      <c r="P81" s="8">
        <f t="shared" si="52"/>
        <v>2.7227900000000003</v>
      </c>
      <c r="Q81" s="8">
        <f t="shared" si="53"/>
        <v>0.997690932073934</v>
      </c>
      <c r="R81" s="3">
        <f t="shared" si="46"/>
        <v>2041</v>
      </c>
      <c r="S81" s="5">
        <f t="shared" si="62"/>
        <v>67.900000000000006</v>
      </c>
      <c r="T81" s="8">
        <f t="shared" si="55"/>
        <v>2.7227900000000003</v>
      </c>
      <c r="U81" s="8">
        <f t="shared" si="56"/>
        <v>2.7227900000000003</v>
      </c>
      <c r="V81" s="8">
        <f t="shared" si="57"/>
        <v>1.7250990679260663</v>
      </c>
      <c r="W81" s="44">
        <f t="shared" si="59"/>
        <v>51744</v>
      </c>
      <c r="X81" s="3">
        <f t="shared" si="58"/>
        <v>2041</v>
      </c>
    </row>
    <row r="82" spans="1:24" x14ac:dyDescent="0.25">
      <c r="A82" s="3"/>
      <c r="B82" s="3" t="s">
        <v>128</v>
      </c>
      <c r="C82" s="3" t="str">
        <f>B82</f>
        <v>Peyrolles</v>
      </c>
      <c r="D82" s="3" t="s">
        <v>73</v>
      </c>
      <c r="E82" s="12">
        <v>44470</v>
      </c>
      <c r="F82" s="3">
        <f t="shared" si="48"/>
        <v>2021</v>
      </c>
      <c r="G82" s="3">
        <v>14.66</v>
      </c>
      <c r="H82" s="16">
        <f t="shared" si="60"/>
        <v>1</v>
      </c>
      <c r="I82" s="3">
        <f t="shared" si="49"/>
        <v>14.66</v>
      </c>
      <c r="J82" s="2">
        <f>VLOOKUP($C82,'Prod. et Profil'!$C:$R,'Prod. et Profil'!$E$1,FALSE)</f>
        <v>1512.9604365620737</v>
      </c>
      <c r="K82" s="8">
        <f t="shared" si="50"/>
        <v>22.18</v>
      </c>
      <c r="L82" s="34">
        <f>1-VLOOKUP($C82,'Prod. et Profil'!$C:$AR,INDEX('Prod. et Profil'!$AF$1:$AQ$3,1,MONTH($E82)),FALSE)+_xlfn.DAYS(EOMONTH($E82,0),$E82)/DAY(EOMONTH($E82,0))*VLOOKUP($C82,'Prod. et Profil'!$C:$AR,INDEX('Prod. et Profil'!$T$1:$AE$3,1,MONTH($E82)),FALSE)</f>
        <v>0.13651459594479287</v>
      </c>
      <c r="M82" s="28">
        <f t="shared" si="61"/>
        <v>3.0278937380555058</v>
      </c>
      <c r="N82" s="10" t="s">
        <v>122</v>
      </c>
      <c r="O82" s="3">
        <v>59.9</v>
      </c>
      <c r="P82" s="8">
        <f t="shared" si="52"/>
        <v>1.3285819999999999</v>
      </c>
      <c r="Q82" s="8">
        <f t="shared" si="53"/>
        <v>0.1813708349095248</v>
      </c>
      <c r="R82" s="3">
        <f t="shared" si="46"/>
        <v>2041</v>
      </c>
      <c r="S82" s="5">
        <f t="shared" si="62"/>
        <v>59.9</v>
      </c>
      <c r="T82" s="8">
        <f t="shared" si="55"/>
        <v>1.3285819999999999</v>
      </c>
      <c r="U82" s="8">
        <f t="shared" si="56"/>
        <v>1.3285819999999999</v>
      </c>
      <c r="V82" s="8">
        <f t="shared" si="57"/>
        <v>1.147211165090475</v>
      </c>
      <c r="W82" s="44">
        <f t="shared" si="59"/>
        <v>51774</v>
      </c>
      <c r="X82" s="3">
        <f t="shared" si="58"/>
        <v>2041</v>
      </c>
    </row>
    <row r="83" spans="1:24" x14ac:dyDescent="0.25">
      <c r="A83" s="3"/>
      <c r="B83" s="3" t="s">
        <v>129</v>
      </c>
      <c r="C83" s="3" t="str">
        <f>B83</f>
        <v>La Clé des Champs</v>
      </c>
      <c r="D83" s="3" t="s">
        <v>73</v>
      </c>
      <c r="E83" s="12">
        <v>44501</v>
      </c>
      <c r="F83" s="3">
        <f t="shared" si="48"/>
        <v>2021</v>
      </c>
      <c r="G83" s="3">
        <v>12.53</v>
      </c>
      <c r="H83" s="16">
        <f t="shared" si="60"/>
        <v>1</v>
      </c>
      <c r="I83" s="3">
        <f t="shared" si="49"/>
        <v>12.53</v>
      </c>
      <c r="J83" s="2">
        <f>VLOOKUP($C83,'Prod. et Profil'!$C:$R,'Prod. et Profil'!$E$1,FALSE)</f>
        <v>1413.4078212290503</v>
      </c>
      <c r="K83" s="8">
        <f t="shared" si="50"/>
        <v>17.71</v>
      </c>
      <c r="L83" s="34">
        <f>1-VLOOKUP($C83,'Prod. et Profil'!$C:$AR,INDEX('Prod. et Profil'!$AF$1:$AQ$3,1,MONTH($E83)),FALSE)+_xlfn.DAYS(EOMONTH($E83,0),$E83)/DAY(EOMONTH($E83,0))*VLOOKUP($C83,'Prod. et Profil'!$C:$AR,INDEX('Prod. et Profil'!$T$1:$AE$3,1,MONTH($E83)),FALSE)</f>
        <v>4.8786478995596155E-2</v>
      </c>
      <c r="M83" s="28">
        <f t="shared" si="61"/>
        <v>0.86400854301200791</v>
      </c>
      <c r="N83" s="10" t="s">
        <v>122</v>
      </c>
      <c r="O83" s="3">
        <v>58</v>
      </c>
      <c r="P83" s="8">
        <f t="shared" si="52"/>
        <v>1.02718</v>
      </c>
      <c r="Q83" s="8">
        <f t="shared" si="53"/>
        <v>5.0112495494696457E-2</v>
      </c>
      <c r="R83" s="3">
        <f t="shared" si="46"/>
        <v>2041</v>
      </c>
      <c r="S83" s="5">
        <f t="shared" si="62"/>
        <v>58</v>
      </c>
      <c r="T83" s="8">
        <f t="shared" si="55"/>
        <v>1.02718</v>
      </c>
      <c r="U83" s="8">
        <f t="shared" si="56"/>
        <v>1.02718</v>
      </c>
      <c r="V83" s="8">
        <f t="shared" si="57"/>
        <v>0.97706750450530355</v>
      </c>
      <c r="W83" s="44">
        <f t="shared" si="59"/>
        <v>51805</v>
      </c>
      <c r="X83" s="3">
        <f t="shared" si="58"/>
        <v>2041</v>
      </c>
    </row>
    <row r="84" spans="1:24" x14ac:dyDescent="0.25">
      <c r="A84" s="3"/>
      <c r="B84" s="22" t="s">
        <v>130</v>
      </c>
      <c r="C84" s="22" t="str">
        <f>B84</f>
        <v>Remise Reclainville - off</v>
      </c>
      <c r="D84" s="22" t="str">
        <f>VLOOKUP("Remise Reclainville",$B:$X,D$1,FALSE)</f>
        <v>Eolien</v>
      </c>
      <c r="E84" s="23">
        <f>EDATE(VLOOKUP("Remise Reclainville - Repowering",$B:$X,E$1,FALSE),-7)</f>
        <v>44501</v>
      </c>
      <c r="F84" s="22">
        <f t="shared" si="48"/>
        <v>2021</v>
      </c>
      <c r="G84" s="22">
        <f>-VLOOKUP("Remise Reclainville",$B:$X,G$1,FALSE)</f>
        <v>-12</v>
      </c>
      <c r="H84" s="21">
        <f t="shared" si="60"/>
        <v>1</v>
      </c>
      <c r="I84" s="22">
        <f t="shared" si="49"/>
        <v>-12</v>
      </c>
      <c r="J84" s="24">
        <f>VLOOKUP($C84,'Prod. et Profil'!$C:$R,'Prod. et Profil'!$E$1,FALSE)</f>
        <v>1983.3332499999999</v>
      </c>
      <c r="K84" s="25">
        <f t="shared" si="50"/>
        <v>-23.799999</v>
      </c>
      <c r="L84" s="21">
        <f>1-VLOOKUP($C84,'Prod. et Profil'!$C:$AR,INDEX('Prod. et Profil'!$AF$1:$AQ$3,1,MONTH($E84)),FALSE)+_xlfn.DAYS(EOMONTH($E84,0),$E84)/DAY(EOMONTH($E84,0))*VLOOKUP($C84,'Prod. et Profil'!$C:$AR,INDEX('Prod. et Profil'!$T$1:$AE$3,1,MONTH($E84)),FALSE)</f>
        <v>0.20608324115195686</v>
      </c>
      <c r="M84" s="29">
        <f t="shared" si="61"/>
        <v>-4.9047809333333321</v>
      </c>
      <c r="N84" s="24" t="s">
        <v>120</v>
      </c>
      <c r="O84" s="22">
        <v>0</v>
      </c>
      <c r="P84" s="25" t="str">
        <f t="shared" si="52"/>
        <v>Off</v>
      </c>
      <c r="Q84" s="25" t="str">
        <f t="shared" si="53"/>
        <v>Off</v>
      </c>
      <c r="R84" s="22">
        <f t="shared" si="46"/>
        <v>2021</v>
      </c>
      <c r="S84" s="26" t="str">
        <f>IF($N84="Off","Off",IF(AND($D84="Eolien",OR($N84="FiT",$N84="CR16")),IF(J84&lt;=2400,82,IF(AND(J84&gt;2400,J84&lt;=2800),(((82-68)/(2400-2800))*J84)+(((2400*68)-(2800*82))/(2400-2800)),IF(AND(J84&gt;2800,J84&lt;=3600),(((68-28)/(2800-3600))*J84)+(((2800*28)-(3600*68))/(2800-3600)),28))),$O84))</f>
        <v>Off</v>
      </c>
      <c r="T84" s="25" t="str">
        <f t="shared" si="55"/>
        <v>Off</v>
      </c>
      <c r="U84" s="25" t="str">
        <f t="shared" si="56"/>
        <v>Off</v>
      </c>
      <c r="V84" s="25" t="str">
        <f t="shared" si="57"/>
        <v>Off</v>
      </c>
      <c r="W84" s="46">
        <f t="shared" si="59"/>
        <v>44501</v>
      </c>
      <c r="X84" s="22">
        <f t="shared" si="58"/>
        <v>2021</v>
      </c>
    </row>
    <row r="85" spans="1:24" x14ac:dyDescent="0.25">
      <c r="A85" s="3"/>
      <c r="B85" s="22" t="s">
        <v>131</v>
      </c>
      <c r="C85" s="22" t="str">
        <f>B85</f>
        <v>Evits et Josaphats - off</v>
      </c>
      <c r="D85" s="22" t="str">
        <f>VLOOKUP("Evits et Josaphats",$B:$X,D$1,FALSE)</f>
        <v>Eolien</v>
      </c>
      <c r="E85" s="23">
        <f>EDATE(VLOOKUP("Evits et Josaphats - Repowering",$B:$X,E$1,FALSE),-7)</f>
        <v>44501</v>
      </c>
      <c r="F85" s="22">
        <f t="shared" si="48"/>
        <v>2021</v>
      </c>
      <c r="G85" s="22">
        <f>-VLOOKUP("Evits et Josaphats",$B:$X,G$1,FALSE)</f>
        <v>-12</v>
      </c>
      <c r="H85" s="21">
        <f t="shared" si="60"/>
        <v>1</v>
      </c>
      <c r="I85" s="22">
        <f t="shared" si="49"/>
        <v>-12</v>
      </c>
      <c r="J85" s="24">
        <f>VLOOKUP($C85,'Prod. et Profil'!$C:$R,'Prod. et Profil'!$E$1,FALSE)</f>
        <v>1958.333333333333</v>
      </c>
      <c r="K85" s="25">
        <f t="shared" si="50"/>
        <v>-23.499999999999996</v>
      </c>
      <c r="L85" s="21">
        <f>1-VLOOKUP($C85,'Prod. et Profil'!$C:$AR,INDEX('Prod. et Profil'!$AF$1:$AQ$3,1,MONTH($E85)),FALSE)+_xlfn.DAYS(EOMONTH($E85,0),$E85)/DAY(EOMONTH($E85,0))*VLOOKUP($C85,'Prod. et Profil'!$C:$AR,INDEX('Prod. et Profil'!$T$1:$AE$3,1,MONTH($E85)),FALSE)</f>
        <v>0.20641655177304954</v>
      </c>
      <c r="M85" s="29">
        <f t="shared" si="61"/>
        <v>-4.8507889666666637</v>
      </c>
      <c r="N85" s="24" t="s">
        <v>120</v>
      </c>
      <c r="O85" s="22">
        <v>0</v>
      </c>
      <c r="P85" s="25" t="str">
        <f t="shared" si="52"/>
        <v>Off</v>
      </c>
      <c r="Q85" s="25" t="str">
        <f t="shared" si="53"/>
        <v>Off</v>
      </c>
      <c r="R85" s="22">
        <f t="shared" si="46"/>
        <v>2021</v>
      </c>
      <c r="S85" s="26" t="str">
        <f>IF($N85="Off","Off",IF(AND($D85="Eolien",OR($N85="FiT",$N85="CR16")),IF(J85&lt;=2400,82,IF(AND(J85&gt;2400,J85&lt;=2800),(((82-68)/(2400-2800))*J85)+(((2400*68)-(2800*82))/(2400-2800)),IF(AND(J85&gt;2800,J85&lt;=3600),(((68-28)/(2800-3600))*J85)+(((2800*28)-(3600*68))/(2800-3600)),28))),$O85))</f>
        <v>Off</v>
      </c>
      <c r="T85" s="25" t="str">
        <f t="shared" si="55"/>
        <v>Off</v>
      </c>
      <c r="U85" s="25" t="str">
        <f t="shared" si="56"/>
        <v>Off</v>
      </c>
      <c r="V85" s="25" t="str">
        <f t="shared" si="57"/>
        <v>Off</v>
      </c>
      <c r="W85" s="46">
        <f t="shared" si="59"/>
        <v>44501</v>
      </c>
      <c r="X85" s="22">
        <f t="shared" si="58"/>
        <v>2021</v>
      </c>
    </row>
    <row r="86" spans="1:24" x14ac:dyDescent="0.25">
      <c r="A86" s="3"/>
      <c r="B86" s="3" t="s">
        <v>132</v>
      </c>
      <c r="C86" s="3" t="s">
        <v>132</v>
      </c>
      <c r="D86" s="3" t="s">
        <v>24</v>
      </c>
      <c r="E86" s="12">
        <v>44531</v>
      </c>
      <c r="F86" s="3">
        <f t="shared" si="48"/>
        <v>2021</v>
      </c>
      <c r="G86" s="3">
        <v>8.8000000000000007</v>
      </c>
      <c r="H86" s="16">
        <f t="shared" si="60"/>
        <v>1</v>
      </c>
      <c r="I86" s="3">
        <f t="shared" si="49"/>
        <v>8.8000000000000007</v>
      </c>
      <c r="J86" s="2">
        <f>VLOOKUP($C86,'Prod. et Profil'!$C:$R,'Prod. et Profil'!$E$1,FALSE)</f>
        <v>2544.3181818181815</v>
      </c>
      <c r="K86" s="8">
        <f t="shared" si="50"/>
        <v>22.39</v>
      </c>
      <c r="L86" s="34">
        <f>1-VLOOKUP($C86,'Prod. et Profil'!$C:$AR,INDEX('Prod. et Profil'!$AF$1:$AQ$3,1,MONTH($E86)),FALSE)+_xlfn.DAYS(EOMONTH($E86,0),$E86)/DAY(EOMONTH($E86,0))*VLOOKUP($C86,'Prod. et Profil'!$C:$AR,INDEX('Prod. et Profil'!$T$1:$AE$3,1,MONTH($E86)),FALSE)</f>
        <v>0.10366281915761544</v>
      </c>
      <c r="M86" s="28">
        <f t="shared" si="61"/>
        <v>2.3210105209390095</v>
      </c>
      <c r="N86" s="2" t="s">
        <v>117</v>
      </c>
      <c r="O86" s="3">
        <f>72+2.8</f>
        <v>74.8</v>
      </c>
      <c r="P86" s="8">
        <f t="shared" si="52"/>
        <v>1.6747719999999999</v>
      </c>
      <c r="Q86" s="8">
        <f t="shared" si="53"/>
        <v>0.17361158696623791</v>
      </c>
      <c r="R86" s="3">
        <f t="shared" si="46"/>
        <v>2041</v>
      </c>
      <c r="S86" s="5">
        <f>IF($N86="Off","Off",IF(AND($D86="Eolien",OR($N86="FiT",$N86="CR16")),IF(J86&lt;=2400,$O86,IF(AND(J86&gt;2400,J86&lt;=2800),((($O86-68)/(2400-2800))*J86)+(((2400*68)-(2800*$O86))/(2400-2800)),IF(AND(J86&gt;2800,J86&lt;=3600),(((68-28)/(2800-3600))*J86)+(((2800*28)-(3600*68))/(2800-3600)),28))),$O86))</f>
        <v>74.8</v>
      </c>
      <c r="T86" s="8">
        <f t="shared" si="55"/>
        <v>1.6747719999999999</v>
      </c>
      <c r="U86" s="8">
        <f t="shared" si="56"/>
        <v>1.6747719999999999</v>
      </c>
      <c r="V86" s="8">
        <f t="shared" si="57"/>
        <v>1.5011604130337621</v>
      </c>
      <c r="W86" s="44">
        <f t="shared" si="59"/>
        <v>51835</v>
      </c>
      <c r="X86" s="3">
        <f t="shared" si="58"/>
        <v>2041</v>
      </c>
    </row>
    <row r="87" spans="1:24" x14ac:dyDescent="0.25">
      <c r="A87" s="3"/>
      <c r="B87" s="22" t="s">
        <v>133</v>
      </c>
      <c r="C87" s="22" t="str">
        <f t="shared" ref="C87:C111" si="63">B87</f>
        <v>Bougainville - off</v>
      </c>
      <c r="D87" s="22" t="str">
        <f>VLOOKUP("Bougainville",$B:$X,D$1,FALSE)</f>
        <v>Eolien</v>
      </c>
      <c r="E87" s="23">
        <f>VLOOKUP("Bougainville - Repowering",$B:$X,E$1,FALSE)-365/12*9</f>
        <v>44622.25</v>
      </c>
      <c r="F87" s="22">
        <f t="shared" si="48"/>
        <v>2022</v>
      </c>
      <c r="G87" s="22">
        <f>-VLOOKUP("Bougainville",$B:$X,G$1,FALSE)</f>
        <v>-12</v>
      </c>
      <c r="H87" s="21">
        <f t="shared" si="60"/>
        <v>1</v>
      </c>
      <c r="I87" s="22">
        <f t="shared" si="49"/>
        <v>-12</v>
      </c>
      <c r="J87" s="24">
        <f>VLOOKUP($C87,'Prod. et Profil'!$C:$R,'Prod. et Profil'!$E$1,FALSE)</f>
        <v>1558.3332499999997</v>
      </c>
      <c r="K87" s="25">
        <f t="shared" si="50"/>
        <v>-18.699998999999995</v>
      </c>
      <c r="L87" s="21">
        <f>1-VLOOKUP($C87,'Prod. et Profil'!$C:$AR,INDEX('Prod. et Profil'!$AF$1:$AQ$3,1,MONTH($E87)),FALSE)+_xlfn.DAYS(EOMONTH($E87,0),$E87)/DAY(EOMONTH($E87,0))*VLOOKUP($C87,'Prod. et Profil'!$C:$AR,INDEX('Prod. et Profil'!$T$1:$AE$3,1,MONTH($E87)),FALSE)</f>
        <v>0.76456417578314539</v>
      </c>
      <c r="M87" s="29">
        <f t="shared" si="61"/>
        <v>-14.297349322580638</v>
      </c>
      <c r="N87" s="24" t="s">
        <v>120</v>
      </c>
      <c r="O87" s="26">
        <v>0</v>
      </c>
      <c r="P87" s="25" t="str">
        <f t="shared" si="52"/>
        <v>Off</v>
      </c>
      <c r="Q87" s="25" t="str">
        <f t="shared" si="53"/>
        <v>Off</v>
      </c>
      <c r="R87" s="22">
        <f t="shared" si="46"/>
        <v>2022</v>
      </c>
      <c r="S87" s="26" t="str">
        <f>IF($N87="Off","Off",IF(AND($D87="Eolien",OR($N87="FiT",$N87="CR16")),IF(J87&lt;=2400,82,IF(AND(J87&gt;2400,J87&lt;=2800),(((82-68)/(2400-2800))*J87)+(((2400*68)-(2800*82))/(2400-2800)),IF(AND(J87&gt;2800,J87&lt;=3600),(((68-28)/(2800-3600))*J87)+(((2800*28)-(3600*68))/(2800-3600)),28))),$O87))</f>
        <v>Off</v>
      </c>
      <c r="T87" s="25" t="str">
        <f t="shared" si="55"/>
        <v>Off</v>
      </c>
      <c r="U87" s="25" t="str">
        <f t="shared" si="56"/>
        <v>Off</v>
      </c>
      <c r="V87" s="25" t="str">
        <f t="shared" si="57"/>
        <v>Off</v>
      </c>
      <c r="W87" s="46">
        <f t="shared" si="59"/>
        <v>44622.25</v>
      </c>
      <c r="X87" s="22">
        <f t="shared" si="58"/>
        <v>2022</v>
      </c>
    </row>
    <row r="88" spans="1:24" x14ac:dyDescent="0.25">
      <c r="A88" s="3"/>
      <c r="B88" s="3" t="s">
        <v>134</v>
      </c>
      <c r="C88" s="3" t="str">
        <f t="shared" si="63"/>
        <v>Remise Reclainville - Repowering</v>
      </c>
      <c r="D88" s="3" t="s">
        <v>24</v>
      </c>
      <c r="E88" s="12">
        <v>44713</v>
      </c>
      <c r="F88" s="3">
        <f t="shared" si="48"/>
        <v>2022</v>
      </c>
      <c r="G88" s="5">
        <f>14.4</f>
        <v>14.4</v>
      </c>
      <c r="H88" s="16">
        <f t="shared" si="60"/>
        <v>0.8</v>
      </c>
      <c r="I88" s="5">
        <f t="shared" si="49"/>
        <v>11.520000000000001</v>
      </c>
      <c r="J88" s="2">
        <f>VLOOKUP($C88,'Prod. et Profil'!$C:$R,'Prod. et Profil'!$E$1,FALSE)</f>
        <v>2820</v>
      </c>
      <c r="K88" s="8">
        <f t="shared" si="50"/>
        <v>32.486400000000003</v>
      </c>
      <c r="L88" s="34">
        <f>1-VLOOKUP($C88,'Prod. et Profil'!$C:$AR,INDEX('Prod. et Profil'!$AF$1:$AQ$3,1,MONTH($E88)),FALSE)+_xlfn.DAYS(EOMONTH($E88,0),$E88)/DAY(EOMONTH($E88,0))*VLOOKUP($C88,'Prod. et Profil'!$C:$AR,INDEX('Prod. et Profil'!$T$1:$AE$3,1,MONTH($E88)),FALSE)</f>
        <v>0.53351025070771352</v>
      </c>
      <c r="M88" s="28">
        <f t="shared" si="61"/>
        <v>17.331827408591067</v>
      </c>
      <c r="N88" s="33" t="s">
        <v>117</v>
      </c>
      <c r="O88" s="3">
        <f>72+2.8</f>
        <v>74.8</v>
      </c>
      <c r="P88" s="8">
        <f t="shared" si="52"/>
        <v>2.4299827199999999</v>
      </c>
      <c r="Q88" s="8">
        <f t="shared" si="53"/>
        <v>1.2964206901626119</v>
      </c>
      <c r="R88" s="3">
        <f t="shared" si="46"/>
        <v>2042</v>
      </c>
      <c r="S88" s="5">
        <f>IF($N88="Off","Off",IF(AND($D88="Eolien",OR($N88="FiT",$N88="CR16")),IF(J88&lt;=2400,$O88,IF(AND(J88&gt;2400,J88&lt;=2800),((($O88-68)/(2400-2800))*J88)+(((2400*68)-(2800*$O88))/(2400-2800)),IF(AND(J88&gt;2800,J88&lt;=3600),(((68-28)/(2800-3600))*J88)+(((2800*28)-(3600*68))/(2800-3600)),28))),$O88))</f>
        <v>74.8</v>
      </c>
      <c r="T88" s="8">
        <f t="shared" si="55"/>
        <v>2.4299827199999999</v>
      </c>
      <c r="U88" s="8">
        <f t="shared" si="56"/>
        <v>2.4299827199999999</v>
      </c>
      <c r="V88" s="8">
        <f t="shared" si="57"/>
        <v>1.1335620298373883</v>
      </c>
      <c r="W88" s="44">
        <f t="shared" si="59"/>
        <v>52017</v>
      </c>
      <c r="X88" s="3">
        <f t="shared" si="58"/>
        <v>2042</v>
      </c>
    </row>
    <row r="89" spans="1:24" x14ac:dyDescent="0.25">
      <c r="A89" s="3"/>
      <c r="B89" s="3" t="s">
        <v>135</v>
      </c>
      <c r="C89" s="3" t="str">
        <f t="shared" si="63"/>
        <v>Evits et Josaphats - Repowering</v>
      </c>
      <c r="D89" s="3" t="s">
        <v>24</v>
      </c>
      <c r="E89" s="12">
        <v>44713</v>
      </c>
      <c r="F89" s="3">
        <f t="shared" si="48"/>
        <v>2022</v>
      </c>
      <c r="G89" s="5">
        <f>14.4</f>
        <v>14.4</v>
      </c>
      <c r="H89" s="16">
        <f t="shared" si="60"/>
        <v>0.8</v>
      </c>
      <c r="I89" s="5">
        <f t="shared" si="49"/>
        <v>11.520000000000001</v>
      </c>
      <c r="J89" s="2">
        <f>VLOOKUP($C89,'Prod. et Profil'!$C:$R,'Prod. et Profil'!$E$1,FALSE)</f>
        <v>2905</v>
      </c>
      <c r="K89" s="8">
        <f t="shared" si="50"/>
        <v>33.465600000000009</v>
      </c>
      <c r="L89" s="34">
        <f>1-VLOOKUP($C89,'Prod. et Profil'!$C:$AR,INDEX('Prod. et Profil'!$AF$1:$AQ$3,1,MONTH($E89)),FALSE)+_xlfn.DAYS(EOMONTH($E89,0),$E89)/DAY(EOMONTH($E89,0))*VLOOKUP($C89,'Prod. et Profil'!$C:$AR,INDEX('Prod. et Profil'!$T$1:$AE$3,1,MONTH($E89)),FALSE)</f>
        <v>0.53360760567375887</v>
      </c>
      <c r="M89" s="28">
        <f t="shared" si="61"/>
        <v>17.857498688435751</v>
      </c>
      <c r="N89" s="33" t="s">
        <v>117</v>
      </c>
      <c r="O89" s="3">
        <f>72+2.8</f>
        <v>74.8</v>
      </c>
      <c r="P89" s="8">
        <f t="shared" si="52"/>
        <v>2.5032268800000006</v>
      </c>
      <c r="Q89" s="8">
        <f t="shared" si="53"/>
        <v>1.3357409018949942</v>
      </c>
      <c r="R89" s="3">
        <f t="shared" si="46"/>
        <v>2042</v>
      </c>
      <c r="S89" s="5">
        <f>IF($N89="Off","Off",IF(AND($D89="Eolien",OR($N89="FiT",$N89="CR16")),IF(J89&lt;=2400,$O89,IF(AND(J89&gt;2400,J89&lt;=2800),((($O89-68)/(2400-2800))*J89)+(((2400*68)-(2800*$O89))/(2400-2800)),IF(AND(J89&gt;2800,J89&lt;=3600),(((68-28)/(2800-3600))*J89)+(((2800*28)-(3600*68))/(2800-3600)),28))),$O89))</f>
        <v>74.8</v>
      </c>
      <c r="T89" s="8">
        <f t="shared" si="55"/>
        <v>2.5032268800000006</v>
      </c>
      <c r="U89" s="8">
        <f t="shared" si="56"/>
        <v>2.5032268800000006</v>
      </c>
      <c r="V89" s="8">
        <f t="shared" si="57"/>
        <v>1.1674859781050066</v>
      </c>
      <c r="W89" s="44">
        <f t="shared" si="59"/>
        <v>52017</v>
      </c>
      <c r="X89" s="3">
        <f t="shared" si="58"/>
        <v>2042</v>
      </c>
    </row>
    <row r="90" spans="1:24" x14ac:dyDescent="0.25">
      <c r="A90" s="3"/>
      <c r="B90" s="9" t="s">
        <v>136</v>
      </c>
      <c r="C90" s="3" t="str">
        <f t="shared" si="63"/>
        <v>Parc Eolien du Bois des Fontaines</v>
      </c>
      <c r="D90" s="9" t="s">
        <v>24</v>
      </c>
      <c r="E90" s="12">
        <v>44805</v>
      </c>
      <c r="F90" s="3">
        <f t="shared" si="48"/>
        <v>2022</v>
      </c>
      <c r="G90" s="5">
        <f>7*3.6</f>
        <v>25.2</v>
      </c>
      <c r="H90" s="16">
        <f t="shared" si="60"/>
        <v>0.8</v>
      </c>
      <c r="I90" s="5">
        <f t="shared" si="49"/>
        <v>20.16</v>
      </c>
      <c r="J90" s="2">
        <f>VLOOKUP($C90,'Prod. et Profil'!$C:$R,'Prod. et Profil'!$E$1,FALSE)</f>
        <v>2055.5238095238096</v>
      </c>
      <c r="K90" s="8">
        <f t="shared" si="50"/>
        <v>41.439360000000001</v>
      </c>
      <c r="L90" s="34">
        <f>1-VLOOKUP($C90,'Prod. et Profil'!$C:$AR,INDEX('Prod. et Profil'!$AF$1:$AQ$3,1,MONTH($E90)),FALSE)+_xlfn.DAYS(EOMONTH($E90,0),$E90)/DAY(EOMONTH($E90,0))*VLOOKUP($C90,'Prod. et Profil'!$C:$AR,INDEX('Prod. et Profil'!$T$1:$AE$3,1,MONTH($E90)),FALSE)</f>
        <v>0.36451587234042548</v>
      </c>
      <c r="M90" s="41">
        <f t="shared" si="61"/>
        <v>15.105304459628934</v>
      </c>
      <c r="N90" s="10" t="s">
        <v>122</v>
      </c>
      <c r="O90" s="3">
        <v>63.8</v>
      </c>
      <c r="P90" s="8">
        <f t="shared" si="52"/>
        <v>2.6438311679999997</v>
      </c>
      <c r="Q90" s="8">
        <f t="shared" si="53"/>
        <v>0.96371842452432599</v>
      </c>
      <c r="R90" s="3">
        <f t="shared" si="46"/>
        <v>2042</v>
      </c>
      <c r="S90" s="5">
        <f>IF($N90="Off","Off",IF(AND($D90="Eolien",OR($N90="FiT",$N90="CR16")),IF(J90&lt;=2400,$O90,IF(AND(J90&gt;2400,J90&lt;=2800),((($O90-68)/(2400-2800))*J90)+(((2400*68)-(2800*$O90))/(2400-2800)),IF(AND(J90&gt;2800,J90&lt;=3600),(((68-28)/(2800-3600))*J90)+(((2800*28)-(3600*68))/(2800-3600)),28))),$O90))</f>
        <v>63.8</v>
      </c>
      <c r="T90" s="8">
        <f t="shared" si="55"/>
        <v>2.6438311679999997</v>
      </c>
      <c r="U90" s="8">
        <f t="shared" si="56"/>
        <v>2.6438311679999997</v>
      </c>
      <c r="V90" s="8">
        <f t="shared" si="57"/>
        <v>1.680112743475674</v>
      </c>
      <c r="W90" s="44">
        <f t="shared" si="59"/>
        <v>52109</v>
      </c>
      <c r="X90" s="3">
        <f t="shared" si="58"/>
        <v>2042</v>
      </c>
    </row>
    <row r="91" spans="1:24" x14ac:dyDescent="0.25">
      <c r="A91" s="3"/>
      <c r="B91" s="27" t="s">
        <v>137</v>
      </c>
      <c r="C91" s="22" t="str">
        <f t="shared" si="63"/>
        <v>Maurienne / Gourgançon - off</v>
      </c>
      <c r="D91" s="22" t="str">
        <f>VLOOKUP("Maurienne / Gourgançon",$B:$X,D$1,FALSE)</f>
        <v>Eolien</v>
      </c>
      <c r="E91" s="23">
        <f>VLOOKUP("Maurienne / Gourgançon - Repowering",$B:$X,E$1,FALSE)-365/12*8</f>
        <v>44803.666666666664</v>
      </c>
      <c r="F91" s="22">
        <f t="shared" si="48"/>
        <v>2022</v>
      </c>
      <c r="G91" s="22">
        <f>-VLOOKUP("Maurienne / Gourgançon",$B:$X,G$1,FALSE)</f>
        <v>-12</v>
      </c>
      <c r="H91" s="21">
        <f t="shared" si="60"/>
        <v>1</v>
      </c>
      <c r="I91" s="22">
        <f t="shared" si="49"/>
        <v>-12</v>
      </c>
      <c r="J91" s="24">
        <f>VLOOKUP($C91,'Prod. et Profil'!$C:$R,'Prod. et Profil'!$E$1,FALSE)</f>
        <v>1800.0000833333334</v>
      </c>
      <c r="K91" s="25">
        <f t="shared" si="50"/>
        <v>-21.600000999999999</v>
      </c>
      <c r="L91" s="21">
        <f>1-VLOOKUP($C91,'Prod. et Profil'!$C:$AR,INDEX('Prod. et Profil'!$AF$1:$AQ$3,1,MONTH($E91)),FALSE)+_xlfn.DAYS(EOMONTH($E91,0),$E91)/DAY(EOMONTH($E91,0))*VLOOKUP($C91,'Prod. et Profil'!$C:$AR,INDEX('Prod. et Profil'!$T$1:$AE$3,1,MONTH($E91)),FALSE)</f>
        <v>0.36698883605637111</v>
      </c>
      <c r="M91" s="29">
        <f t="shared" si="61"/>
        <v>-7.9269592258064518</v>
      </c>
      <c r="N91" s="24" t="s">
        <v>120</v>
      </c>
      <c r="O91" s="22">
        <v>0</v>
      </c>
      <c r="P91" s="25" t="str">
        <f t="shared" si="52"/>
        <v>Off</v>
      </c>
      <c r="Q91" s="25" t="str">
        <f t="shared" si="53"/>
        <v>Off</v>
      </c>
      <c r="R91" s="22">
        <f t="shared" si="46"/>
        <v>2022</v>
      </c>
      <c r="S91" s="26" t="str">
        <f>IF($N91="Off","Off",IF(AND($D91="Eolien",OR($N91="FiT",$N91="CR16")),IF(J91&lt;=2400,82,IF(AND(J91&gt;2400,J91&lt;=2800),(((82-68)/(2400-2800))*J91)+(((2400*68)-(2800*82))/(2400-2800)),IF(AND(J91&gt;2800,J91&lt;=3600),(((68-28)/(2800-3600))*J91)+(((2800*28)-(3600*68))/(2800-3600)),28))),$O91))</f>
        <v>Off</v>
      </c>
      <c r="T91" s="25" t="str">
        <f t="shared" si="55"/>
        <v>Off</v>
      </c>
      <c r="U91" s="25" t="str">
        <f t="shared" si="56"/>
        <v>Off</v>
      </c>
      <c r="V91" s="25" t="str">
        <f t="shared" si="57"/>
        <v>Off</v>
      </c>
      <c r="W91" s="46">
        <f t="shared" si="59"/>
        <v>44803.666666666664</v>
      </c>
      <c r="X91" s="22">
        <f t="shared" si="58"/>
        <v>2022</v>
      </c>
    </row>
    <row r="92" spans="1:24" x14ac:dyDescent="0.25">
      <c r="A92" s="3"/>
      <c r="B92" s="3" t="s">
        <v>138</v>
      </c>
      <c r="C92" s="3" t="str">
        <f t="shared" si="63"/>
        <v>Bougainville - Repowering</v>
      </c>
      <c r="D92" s="3" t="s">
        <v>24</v>
      </c>
      <c r="E92" s="12">
        <v>44896</v>
      </c>
      <c r="F92" s="3">
        <f t="shared" si="48"/>
        <v>2022</v>
      </c>
      <c r="G92" s="5">
        <v>18</v>
      </c>
      <c r="H92" s="16">
        <f t="shared" si="60"/>
        <v>0.8</v>
      </c>
      <c r="I92" s="5">
        <f t="shared" si="49"/>
        <v>14.4</v>
      </c>
      <c r="J92" s="2">
        <f>VLOOKUP($C92,'Prod. et Profil'!$C:$R,'Prod. et Profil'!$E$1,FALSE)</f>
        <v>2571</v>
      </c>
      <c r="K92" s="8">
        <f t="shared" si="50"/>
        <v>37.022400000000005</v>
      </c>
      <c r="L92" s="34">
        <f>1-VLOOKUP($C92,'Prod. et Profil'!$C:$AR,INDEX('Prod. et Profil'!$AF$1:$AQ$3,1,MONTH($E92)),FALSE)+_xlfn.DAYS(EOMONTH($E92,0),$E92)/DAY(EOMONTH($E92,0))*VLOOKUP($C92,'Prod. et Profil'!$C:$AR,INDEX('Prod. et Profil'!$T$1:$AE$3,1,MONTH($E92)),FALSE)</f>
        <v>0.1125725090387229</v>
      </c>
      <c r="M92" s="28">
        <f t="shared" si="61"/>
        <v>4.1677044586352157</v>
      </c>
      <c r="N92" s="33" t="s">
        <v>117</v>
      </c>
      <c r="O92" s="3">
        <f>72+2.8</f>
        <v>74.8</v>
      </c>
      <c r="P92" s="8">
        <f t="shared" si="52"/>
        <v>2.7692755200000003</v>
      </c>
      <c r="Q92" s="8">
        <f t="shared" si="53"/>
        <v>0.31174429350591415</v>
      </c>
      <c r="R92" s="3">
        <f t="shared" si="46"/>
        <v>2042</v>
      </c>
      <c r="S92" s="5">
        <f t="shared" ref="S92:S102" si="64">IF($N92="Off","Off",IF(AND($D92="Eolien",OR($N92="FiT",$N92="CR16")),IF(J92&lt;=2400,$O92,IF(AND(J92&gt;2400,J92&lt;=2800),((($O92-68)/(2400-2800))*J92)+(((2400*68)-(2800*$O92))/(2400-2800)),IF(AND(J92&gt;2800,J92&lt;=3600),(((68-28)/(2800-3600))*J92)+(((2800*28)-(3600*68))/(2800-3600)),28))),$O92))</f>
        <v>74.8</v>
      </c>
      <c r="T92" s="8">
        <f t="shared" si="55"/>
        <v>2.7692755200000003</v>
      </c>
      <c r="U92" s="8">
        <f t="shared" si="56"/>
        <v>2.7692755200000008</v>
      </c>
      <c r="V92" s="8">
        <f t="shared" si="57"/>
        <v>2.4575312264940861</v>
      </c>
      <c r="W92" s="44">
        <f t="shared" si="59"/>
        <v>52200</v>
      </c>
      <c r="X92" s="3">
        <f t="shared" si="58"/>
        <v>2042</v>
      </c>
    </row>
    <row r="93" spans="1:24" x14ac:dyDescent="0.25">
      <c r="A93" s="3"/>
      <c r="B93" s="3" t="s">
        <v>139</v>
      </c>
      <c r="C93" s="3" t="str">
        <f t="shared" si="63"/>
        <v>Préveranges</v>
      </c>
      <c r="D93" s="3" t="s">
        <v>24</v>
      </c>
      <c r="E93" s="12">
        <v>45078</v>
      </c>
      <c r="F93" s="3">
        <f t="shared" si="48"/>
        <v>2023</v>
      </c>
      <c r="G93" s="3">
        <f>5*2</f>
        <v>10</v>
      </c>
      <c r="H93" s="16">
        <f t="shared" si="60"/>
        <v>0.7</v>
      </c>
      <c r="I93" s="3">
        <f t="shared" si="49"/>
        <v>7</v>
      </c>
      <c r="J93" s="2">
        <f>VLOOKUP($C93,'Prod. et Profil'!$C:$R,'Prod. et Profil'!$E$1,FALSE)</f>
        <v>2030</v>
      </c>
      <c r="K93" s="8">
        <f>I93*J93/1000</f>
        <v>14.21</v>
      </c>
      <c r="L93" s="34">
        <f>1-VLOOKUP($C93,'Prod. et Profil'!$C:$AR,INDEX('Prod. et Profil'!$AF$1:$AQ$3,1,MONTH($E93)),FALSE)+_xlfn.DAYS(EOMONTH($E93,0),$E93)/DAY(EOMONTH($E93,0))*VLOOKUP($C93,'Prod. et Profil'!$C:$AR,INDEX('Prod. et Profil'!$T$1:$AE$3,1,MONTH($E93)),FALSE)</f>
        <v>0.53194957908966622</v>
      </c>
      <c r="M93" s="41">
        <f t="shared" si="61"/>
        <v>7.5590035188641576</v>
      </c>
      <c r="N93" s="33" t="s">
        <v>117</v>
      </c>
      <c r="O93" s="3">
        <f>72+2.8</f>
        <v>74.8</v>
      </c>
      <c r="P93" s="8">
        <f t="shared" si="52"/>
        <v>1.0629080000000002</v>
      </c>
      <c r="Q93" s="8">
        <f t="shared" si="53"/>
        <v>0.56541346321103902</v>
      </c>
      <c r="R93" s="3">
        <f t="shared" si="46"/>
        <v>2043</v>
      </c>
      <c r="S93" s="5">
        <f t="shared" si="64"/>
        <v>74.8</v>
      </c>
      <c r="T93" s="8">
        <f t="shared" si="55"/>
        <v>1.0629080000000002</v>
      </c>
      <c r="U93" s="8">
        <f t="shared" si="56"/>
        <v>1.0629080000000002</v>
      </c>
      <c r="V93" s="8">
        <f t="shared" si="57"/>
        <v>0.49749453678896105</v>
      </c>
      <c r="W93" s="44">
        <f t="shared" si="59"/>
        <v>52382</v>
      </c>
      <c r="X93" s="3">
        <f t="shared" si="58"/>
        <v>2043</v>
      </c>
    </row>
    <row r="94" spans="1:24" x14ac:dyDescent="0.25">
      <c r="A94" s="3"/>
      <c r="B94" s="3" t="s">
        <v>140</v>
      </c>
      <c r="C94" s="3" t="str">
        <f t="shared" si="63"/>
        <v>Marcillé</v>
      </c>
      <c r="D94" s="3" t="s">
        <v>24</v>
      </c>
      <c r="E94" s="12">
        <v>45078</v>
      </c>
      <c r="F94" s="3">
        <f t="shared" si="48"/>
        <v>2023</v>
      </c>
      <c r="G94" s="3">
        <f>6*2</f>
        <v>12</v>
      </c>
      <c r="H94" s="16">
        <f t="shared" si="60"/>
        <v>0.7</v>
      </c>
      <c r="I94" s="3">
        <f t="shared" si="49"/>
        <v>8.3999999999999986</v>
      </c>
      <c r="J94" s="32">
        <f>VLOOKUP($C94,'Prod. et Profil'!$C:$R,'Prod. et Profil'!$E$1,FALSE)</f>
        <v>2200</v>
      </c>
      <c r="K94" s="8">
        <f t="shared" si="50"/>
        <v>18.479999999999997</v>
      </c>
      <c r="L94" s="34">
        <f>1-VLOOKUP($C94,'Prod. et Profil'!$C:$AR,INDEX('Prod. et Profil'!$AF$1:$AQ$3,1,MONTH($E94)),FALSE)+_xlfn.DAYS(EOMONTH($E94,0),$E94)/DAY(EOMONTH($E94,0))*VLOOKUP($C94,'Prod. et Profil'!$C:$AR,INDEX('Prod. et Profil'!$T$1:$AE$3,1,MONTH($E94)),FALSE)</f>
        <v>0.53194957908966622</v>
      </c>
      <c r="M94" s="41">
        <f t="shared" si="61"/>
        <v>9.83042822157703</v>
      </c>
      <c r="N94" s="33" t="s">
        <v>117</v>
      </c>
      <c r="O94" s="3">
        <f>72+2.8</f>
        <v>74.8</v>
      </c>
      <c r="P94" s="8">
        <f t="shared" si="52"/>
        <v>1.3823039999999995</v>
      </c>
      <c r="Q94" s="8">
        <f t="shared" si="53"/>
        <v>0.73531603097396181</v>
      </c>
      <c r="R94" s="3">
        <f t="shared" ref="R94:R111" si="65">IF($N94="Off",$F94,$F94+IF(AND($D94="Eolien",OR($N94="FiT",$N94="CR16")),10,20))</f>
        <v>2043</v>
      </c>
      <c r="S94" s="5">
        <f t="shared" si="64"/>
        <v>74.8</v>
      </c>
      <c r="T94" s="8">
        <f t="shared" si="55"/>
        <v>1.3823039999999995</v>
      </c>
      <c r="U94" s="8">
        <f t="shared" si="56"/>
        <v>1.3823039999999995</v>
      </c>
      <c r="V94" s="8">
        <f t="shared" si="57"/>
        <v>0.64698796902603795</v>
      </c>
      <c r="W94" s="44">
        <f t="shared" si="59"/>
        <v>52382</v>
      </c>
      <c r="X94" s="3">
        <f t="shared" si="58"/>
        <v>2043</v>
      </c>
    </row>
    <row r="95" spans="1:24" x14ac:dyDescent="0.25">
      <c r="A95" s="3"/>
      <c r="B95" s="9" t="s">
        <v>141</v>
      </c>
      <c r="C95" s="3" t="str">
        <f t="shared" si="63"/>
        <v>Bois Ricart - Breteuil</v>
      </c>
      <c r="D95" s="9" t="s">
        <v>24</v>
      </c>
      <c r="E95" s="12">
        <v>45078</v>
      </c>
      <c r="F95" s="3">
        <f t="shared" si="48"/>
        <v>2023</v>
      </c>
      <c r="G95" s="5">
        <f>5*3</f>
        <v>15</v>
      </c>
      <c r="H95" s="16">
        <f t="shared" si="60"/>
        <v>0.7</v>
      </c>
      <c r="I95" s="5">
        <f t="shared" si="49"/>
        <v>10.5</v>
      </c>
      <c r="J95" s="2">
        <f>VLOOKUP($C95,'Prod. et Profil'!$C:$R,'Prod. et Profil'!$E$1,FALSE)</f>
        <v>2225</v>
      </c>
      <c r="K95" s="8">
        <f t="shared" si="50"/>
        <v>23.362500000000001</v>
      </c>
      <c r="L95" s="34">
        <f>1-VLOOKUP($C95,'Prod. et Profil'!$C:$AR,INDEX('Prod. et Profil'!$AF$1:$AQ$3,1,MONTH($E95)),FALSE)+_xlfn.DAYS(EOMONTH($E95,0),$E95)/DAY(EOMONTH($E95,0))*VLOOKUP($C95,'Prod. et Profil'!$C:$AR,INDEX('Prod. et Profil'!$T$1:$AE$3,1,MONTH($E95)),FALSE)</f>
        <v>0.55889333333333335</v>
      </c>
      <c r="M95" s="41">
        <f t="shared" si="61"/>
        <v>13.057145500000001</v>
      </c>
      <c r="N95" s="33" t="s">
        <v>117</v>
      </c>
      <c r="O95" s="3">
        <f>72+2.8</f>
        <v>74.8</v>
      </c>
      <c r="P95" s="8">
        <f t="shared" si="52"/>
        <v>1.7475150000000002</v>
      </c>
      <c r="Q95" s="8">
        <f t="shared" si="53"/>
        <v>0.97667448339999996</v>
      </c>
      <c r="R95" s="3">
        <f t="shared" si="65"/>
        <v>2043</v>
      </c>
      <c r="S95" s="5">
        <f t="shared" si="64"/>
        <v>74.8</v>
      </c>
      <c r="T95" s="8">
        <f t="shared" si="55"/>
        <v>1.7475150000000002</v>
      </c>
      <c r="U95" s="8">
        <f t="shared" si="56"/>
        <v>1.7475150000000002</v>
      </c>
      <c r="V95" s="8">
        <f t="shared" si="57"/>
        <v>0.77084051659999997</v>
      </c>
      <c r="W95" s="44">
        <f t="shared" si="59"/>
        <v>52382</v>
      </c>
      <c r="X95" s="3">
        <f t="shared" si="58"/>
        <v>2043</v>
      </c>
    </row>
    <row r="96" spans="1:24" x14ac:dyDescent="0.25">
      <c r="A96" s="3"/>
      <c r="B96" s="9" t="s">
        <v>142</v>
      </c>
      <c r="C96" s="3" t="str">
        <f t="shared" si="63"/>
        <v>Maurienne / Gourgançon - Repowering</v>
      </c>
      <c r="D96" s="9" t="s">
        <v>24</v>
      </c>
      <c r="E96" s="12">
        <v>45047</v>
      </c>
      <c r="F96" s="3">
        <f t="shared" si="48"/>
        <v>2023</v>
      </c>
      <c r="G96" s="5">
        <v>25.2</v>
      </c>
      <c r="H96" s="16">
        <f t="shared" si="60"/>
        <v>0.7</v>
      </c>
      <c r="I96" s="5">
        <f t="shared" si="49"/>
        <v>17.639999999999997</v>
      </c>
      <c r="J96" s="2">
        <f>VLOOKUP($C96,'Prod. et Profil'!$C:$R,'Prod. et Profil'!$E$1,FALSE)</f>
        <v>2527.25</v>
      </c>
      <c r="K96" s="8">
        <f t="shared" si="50"/>
        <v>44.580689999999997</v>
      </c>
      <c r="L96" s="34">
        <f>1-VLOOKUP($C96,'Prod. et Profil'!$C:$AR,INDEX('Prod. et Profil'!$AF$1:$AQ$3,1,MONTH($E96)),FALSE)+_xlfn.DAYS(EOMONTH($E96,0),$E96)/DAY(EOMONTH($E96,0))*VLOOKUP($C96,'Prod. et Profil'!$C:$AR,INDEX('Prod. et Profil'!$T$1:$AE$3,1,MONTH($E96)),FALSE)</f>
        <v>0.60944099627737325</v>
      </c>
      <c r="M96" s="28">
        <f t="shared" si="61"/>
        <v>27.169300128332729</v>
      </c>
      <c r="N96" s="10" t="s">
        <v>122</v>
      </c>
      <c r="O96" s="3">
        <v>63</v>
      </c>
      <c r="P96" s="8">
        <f t="shared" si="52"/>
        <v>2.8085834699999999</v>
      </c>
      <c r="Q96" s="8">
        <f t="shared" si="53"/>
        <v>1.7116659080849619</v>
      </c>
      <c r="R96" s="3">
        <f t="shared" si="65"/>
        <v>2043</v>
      </c>
      <c r="S96" s="5">
        <f t="shared" si="64"/>
        <v>63</v>
      </c>
      <c r="T96" s="8">
        <f t="shared" si="55"/>
        <v>2.8085834699999999</v>
      </c>
      <c r="U96" s="8">
        <f t="shared" si="56"/>
        <v>2.8085834699999999</v>
      </c>
      <c r="V96" s="8">
        <f t="shared" si="57"/>
        <v>1.0969175619150378</v>
      </c>
      <c r="W96" s="44">
        <f t="shared" si="59"/>
        <v>52351</v>
      </c>
      <c r="X96" s="3">
        <f t="shared" si="58"/>
        <v>2043</v>
      </c>
    </row>
    <row r="97" spans="1:24" x14ac:dyDescent="0.25">
      <c r="A97" s="3"/>
      <c r="B97" s="3" t="s">
        <v>143</v>
      </c>
      <c r="C97" s="3" t="str">
        <f t="shared" si="63"/>
        <v>Ouest Château Thierry</v>
      </c>
      <c r="D97" s="3" t="s">
        <v>24</v>
      </c>
      <c r="E97" s="12">
        <v>45139</v>
      </c>
      <c r="F97" s="3">
        <f t="shared" si="48"/>
        <v>2023</v>
      </c>
      <c r="G97" s="36">
        <f>6*3.5</f>
        <v>21</v>
      </c>
      <c r="H97" s="16">
        <f t="shared" si="60"/>
        <v>0.7</v>
      </c>
      <c r="I97" s="5">
        <f t="shared" si="49"/>
        <v>14.7</v>
      </c>
      <c r="J97" s="2">
        <f>VLOOKUP($C97,'Prod. et Profil'!$C:$R,'Prod. et Profil'!$E$1,FALSE)</f>
        <v>3042</v>
      </c>
      <c r="K97" s="8">
        <f t="shared" si="50"/>
        <v>44.717400000000005</v>
      </c>
      <c r="L97" s="34">
        <f>1-VLOOKUP($C97,'Prod. et Profil'!$C:$AR,INDEX('Prod. et Profil'!$AF$1:$AQ$3,1,MONTH($E97)),FALSE)+_xlfn.DAYS(EOMONTH($E97,0),$E97)/DAY(EOMONTH($E97,0))*VLOOKUP($C97,'Prod. et Profil'!$C:$AR,INDEX('Prod. et Profil'!$T$1:$AE$3,1,MONTH($E97)),FALSE)</f>
        <v>0.42733952005325476</v>
      </c>
      <c r="M97" s="28">
        <f t="shared" si="61"/>
        <v>19.109512254029415</v>
      </c>
      <c r="N97" s="2" t="s">
        <v>122</v>
      </c>
      <c r="O97" s="31">
        <v>60</v>
      </c>
      <c r="P97" s="8">
        <f t="shared" si="52"/>
        <v>2.6830440000000002</v>
      </c>
      <c r="Q97" s="8">
        <f t="shared" si="53"/>
        <v>1.1465707352417649</v>
      </c>
      <c r="R97" s="3">
        <f t="shared" si="65"/>
        <v>2043</v>
      </c>
      <c r="S97" s="5">
        <f t="shared" si="64"/>
        <v>60</v>
      </c>
      <c r="T97" s="8">
        <f t="shared" si="55"/>
        <v>2.6830440000000002</v>
      </c>
      <c r="U97" s="8">
        <f t="shared" si="56"/>
        <v>2.6830440000000002</v>
      </c>
      <c r="V97" s="8">
        <f t="shared" si="57"/>
        <v>1.5364732647582355</v>
      </c>
      <c r="W97" s="44">
        <f t="shared" si="59"/>
        <v>52443</v>
      </c>
      <c r="X97" s="3">
        <f t="shared" si="58"/>
        <v>2043</v>
      </c>
    </row>
    <row r="98" spans="1:24" x14ac:dyDescent="0.25">
      <c r="A98" s="3"/>
      <c r="B98" s="3" t="s">
        <v>144</v>
      </c>
      <c r="C98" s="3" t="str">
        <f t="shared" si="63"/>
        <v>Bois Désiré</v>
      </c>
      <c r="D98" s="3" t="s">
        <v>24</v>
      </c>
      <c r="E98" s="12">
        <v>45261</v>
      </c>
      <c r="F98" s="3">
        <f t="shared" si="48"/>
        <v>2023</v>
      </c>
      <c r="G98" s="5">
        <f>10</f>
        <v>10</v>
      </c>
      <c r="H98" s="34">
        <f t="shared" si="60"/>
        <v>0.7</v>
      </c>
      <c r="I98" s="5">
        <f t="shared" si="49"/>
        <v>7</v>
      </c>
      <c r="J98" s="2">
        <f>VLOOKUP($C98,'Prod. et Profil'!$C:$R,'Prod. et Profil'!$E$1,FALSE)</f>
        <v>2736</v>
      </c>
      <c r="K98" s="8">
        <f t="shared" si="50"/>
        <v>19.152000000000001</v>
      </c>
      <c r="L98" s="34">
        <f>1-VLOOKUP($C98,'Prod. et Profil'!$C:$AR,INDEX('Prod. et Profil'!$AF$1:$AQ$3,1,MONTH($E98)),FALSE)+_xlfn.DAYS(EOMONTH($E98,0),$E98)/DAY(EOMONTH($E98,0))*VLOOKUP($C98,'Prod. et Profil'!$C:$AR,INDEX('Prod. et Profil'!$T$1:$AE$3,1,MONTH($E98)),FALSE)</f>
        <v>9.0961290322580449E-2</v>
      </c>
      <c r="M98" s="41">
        <f t="shared" si="61"/>
        <v>1.7420906322580609</v>
      </c>
      <c r="N98" s="10" t="s">
        <v>122</v>
      </c>
      <c r="O98" s="31">
        <v>60</v>
      </c>
      <c r="P98" s="8">
        <f t="shared" si="52"/>
        <v>1.1491200000000001</v>
      </c>
      <c r="Q98" s="8">
        <f t="shared" si="53"/>
        <v>0.10452543793548365</v>
      </c>
      <c r="R98" s="3">
        <f t="shared" si="65"/>
        <v>2043</v>
      </c>
      <c r="S98" s="5">
        <f t="shared" si="64"/>
        <v>60</v>
      </c>
      <c r="T98" s="8">
        <f t="shared" si="55"/>
        <v>1.1491200000000001</v>
      </c>
      <c r="U98" s="8">
        <f t="shared" si="56"/>
        <v>1.1491200000000001</v>
      </c>
      <c r="V98" s="8">
        <f t="shared" si="57"/>
        <v>1.0445945620645163</v>
      </c>
      <c r="W98" s="44">
        <f t="shared" si="59"/>
        <v>52565</v>
      </c>
      <c r="X98" s="3">
        <f t="shared" si="58"/>
        <v>2043</v>
      </c>
    </row>
    <row r="99" spans="1:24" x14ac:dyDescent="0.25">
      <c r="A99" s="9"/>
      <c r="B99" s="3" t="s">
        <v>145</v>
      </c>
      <c r="C99" s="3" t="str">
        <f t="shared" si="63"/>
        <v>Coucouron</v>
      </c>
      <c r="D99" s="3" t="s">
        <v>73</v>
      </c>
      <c r="E99" s="12">
        <v>45261</v>
      </c>
      <c r="F99" s="3">
        <f t="shared" ref="F99:F111" si="66">YEAR(E99)</f>
        <v>2023</v>
      </c>
      <c r="G99" s="5">
        <v>10</v>
      </c>
      <c r="H99" s="34">
        <f t="shared" si="60"/>
        <v>0.7</v>
      </c>
      <c r="I99" s="5">
        <f t="shared" ref="I99:I111" si="67">G99*H99</f>
        <v>7</v>
      </c>
      <c r="J99" s="2">
        <f>VLOOKUP($C99,'Prod. et Profil'!$C:$R,'Prod. et Profil'!$E$1,FALSE)</f>
        <v>1500</v>
      </c>
      <c r="K99" s="8">
        <f t="shared" ref="K99:K111" si="68">I99*J99/1000</f>
        <v>10.5</v>
      </c>
      <c r="L99" s="34">
        <f>1-VLOOKUP($C99,'Prod. et Profil'!$C:$AR,INDEX('Prod. et Profil'!$AF$1:$AQ$3,1,MONTH($E99)),FALSE)+_xlfn.DAYS(EOMONTH($E99,0),$E99)/DAY(EOMONTH($E99,0))*VLOOKUP($C99,'Prod. et Profil'!$C:$AR,INDEX('Prod. et Profil'!$T$1:$AE$3,1,MONTH($E99)),FALSE)</f>
        <v>3.0188508176393479E-2</v>
      </c>
      <c r="M99" s="41">
        <f t="shared" si="61"/>
        <v>0.31697933585213151</v>
      </c>
      <c r="N99" s="10" t="s">
        <v>122</v>
      </c>
      <c r="O99" s="31">
        <v>53</v>
      </c>
      <c r="P99" s="8">
        <f t="shared" ref="P99:P111" si="69">IF($N99="Off","Off",O99*K99/1000)</f>
        <v>0.55649999999999999</v>
      </c>
      <c r="Q99" s="8">
        <f t="shared" ref="Q99:Q111" si="70">IF($N99="Off","Off",O99*M99/1000)</f>
        <v>1.6799904800162972E-2</v>
      </c>
      <c r="R99" s="3">
        <f t="shared" si="65"/>
        <v>2043</v>
      </c>
      <c r="S99" s="5">
        <f t="shared" si="64"/>
        <v>53</v>
      </c>
      <c r="T99" s="8">
        <f t="shared" ref="T99:T111" si="71">IF($N99="Off","Off",S99*K99/1000)</f>
        <v>0.55649999999999999</v>
      </c>
      <c r="U99" s="8">
        <f t="shared" ref="U99:U111" si="72">IF($N99="Off","Off",((1-L99)*O99+L99*S99)*K99/1000)</f>
        <v>0.55649999999999999</v>
      </c>
      <c r="V99" s="8">
        <f t="shared" ref="V99:V111" si="73">IF($N99="Off","Off",S99*(K99-M99)/1000)</f>
        <v>0.53970009519983708</v>
      </c>
      <c r="W99" s="44">
        <f t="shared" si="59"/>
        <v>52565</v>
      </c>
      <c r="X99" s="3">
        <f t="shared" ref="X99:X111" si="74">YEAR(W99)</f>
        <v>2043</v>
      </c>
    </row>
    <row r="100" spans="1:24" x14ac:dyDescent="0.25">
      <c r="A100" s="9"/>
      <c r="B100" s="3" t="s">
        <v>146</v>
      </c>
      <c r="C100" s="3" t="str">
        <f t="shared" si="63"/>
        <v>Caumont Chériennes</v>
      </c>
      <c r="D100" s="3" t="s">
        <v>24</v>
      </c>
      <c r="E100" s="12">
        <v>45323</v>
      </c>
      <c r="F100" s="3">
        <f t="shared" si="66"/>
        <v>2024</v>
      </c>
      <c r="G100" s="3">
        <f>4*3.6</f>
        <v>14.4</v>
      </c>
      <c r="H100" s="16">
        <f t="shared" si="60"/>
        <v>0.5</v>
      </c>
      <c r="I100" s="5">
        <f t="shared" si="67"/>
        <v>7.2</v>
      </c>
      <c r="J100" s="2">
        <f>VLOOKUP($C100,'Prod. et Profil'!$C:$R,'Prod. et Profil'!$E$1,FALSE)</f>
        <v>2772.9861111111109</v>
      </c>
      <c r="K100" s="8">
        <f t="shared" si="68"/>
        <v>19.965499999999999</v>
      </c>
      <c r="L100" s="34">
        <f>1-VLOOKUP($C100,'Prod. et Profil'!$C:$AR,INDEX('Prod. et Profil'!$AF$1:$AQ$3,1,MONTH($E100)),FALSE)+_xlfn.DAYS(EOMONTH($E100,0),$E100)/DAY(EOMONTH($E100,0))*VLOOKUP($C100,'Prod. et Profil'!$C:$AR,INDEX('Prod. et Profil'!$T$1:$AE$3,1,MONTH($E100)),FALSE)</f>
        <v>0.88142421505609048</v>
      </c>
      <c r="M100" s="41">
        <f t="shared" si="61"/>
        <v>17.598075165702372</v>
      </c>
      <c r="N100" s="10" t="s">
        <v>122</v>
      </c>
      <c r="O100" s="3">
        <v>56.8</v>
      </c>
      <c r="P100" s="8">
        <f t="shared" si="69"/>
        <v>1.1340403999999999</v>
      </c>
      <c r="Q100" s="8">
        <f t="shared" si="70"/>
        <v>0.99957066941189476</v>
      </c>
      <c r="R100" s="3">
        <f t="shared" si="65"/>
        <v>2044</v>
      </c>
      <c r="S100" s="5">
        <f t="shared" si="64"/>
        <v>56.8</v>
      </c>
      <c r="T100" s="8">
        <f t="shared" si="71"/>
        <v>1.1340403999999999</v>
      </c>
      <c r="U100" s="8">
        <f t="shared" si="72"/>
        <v>1.1340403999999999</v>
      </c>
      <c r="V100" s="8">
        <f t="shared" si="73"/>
        <v>0.13446973058810516</v>
      </c>
      <c r="W100" s="44">
        <f t="shared" si="59"/>
        <v>52627</v>
      </c>
      <c r="X100" s="3">
        <f t="shared" si="74"/>
        <v>2044</v>
      </c>
    </row>
    <row r="101" spans="1:24" x14ac:dyDescent="0.25">
      <c r="A101" s="9"/>
      <c r="B101" s="3" t="s">
        <v>147</v>
      </c>
      <c r="C101" s="3" t="str">
        <f t="shared" si="63"/>
        <v>Cruis</v>
      </c>
      <c r="D101" s="3" t="s">
        <v>73</v>
      </c>
      <c r="E101" s="12">
        <v>45383</v>
      </c>
      <c r="F101" s="3">
        <f t="shared" si="66"/>
        <v>2024</v>
      </c>
      <c r="G101" s="3">
        <v>13</v>
      </c>
      <c r="H101" s="16">
        <f t="shared" si="60"/>
        <v>0.5</v>
      </c>
      <c r="I101" s="5">
        <f t="shared" si="67"/>
        <v>6.5</v>
      </c>
      <c r="J101" s="2">
        <f>VLOOKUP($C101,'Prod. et Profil'!$C:$R,'Prod. et Profil'!$E$1,FALSE)</f>
        <v>1846.6923076923076</v>
      </c>
      <c r="K101" s="8">
        <f t="shared" si="68"/>
        <v>12.003500000000001</v>
      </c>
      <c r="L101" s="34">
        <f>1-VLOOKUP($C101,'Prod. et Profil'!$C:$AR,INDEX('Prod. et Profil'!$AF$1:$AQ$3,1,MONTH($E101)),FALSE)+_xlfn.DAYS(EOMONTH($E101,0),$E101)/DAY(EOMONTH($E101,0))*VLOOKUP($C101,'Prod. et Profil'!$C:$AR,INDEX('Prod. et Profil'!$T$1:$AE$3,1,MONTH($E101)),FALSE)</f>
        <v>0.77053939603440125</v>
      </c>
      <c r="M101" s="41">
        <f t="shared" si="61"/>
        <v>9.2491696402989358</v>
      </c>
      <c r="N101" s="2" t="s">
        <v>122</v>
      </c>
      <c r="O101" s="3">
        <v>52.9</v>
      </c>
      <c r="P101" s="8">
        <f t="shared" si="69"/>
        <v>0.63498515</v>
      </c>
      <c r="Q101" s="8">
        <f t="shared" si="70"/>
        <v>0.4892810739718137</v>
      </c>
      <c r="R101" s="3">
        <f t="shared" si="65"/>
        <v>2044</v>
      </c>
      <c r="S101" s="5">
        <f t="shared" si="64"/>
        <v>52.9</v>
      </c>
      <c r="T101" s="8">
        <f t="shared" si="71"/>
        <v>0.63498515</v>
      </c>
      <c r="U101" s="8">
        <f t="shared" si="72"/>
        <v>0.63498515</v>
      </c>
      <c r="V101" s="8">
        <f t="shared" si="73"/>
        <v>0.14570407602818633</v>
      </c>
      <c r="W101" s="44">
        <f t="shared" si="59"/>
        <v>52687</v>
      </c>
      <c r="X101" s="3">
        <f t="shared" si="74"/>
        <v>2044</v>
      </c>
    </row>
    <row r="102" spans="1:24" x14ac:dyDescent="0.25">
      <c r="A102" s="3"/>
      <c r="B102" s="3" t="s">
        <v>148</v>
      </c>
      <c r="C102" s="3" t="str">
        <f t="shared" si="63"/>
        <v>RIB 2</v>
      </c>
      <c r="D102" s="3" t="s">
        <v>24</v>
      </c>
      <c r="E102" s="12">
        <v>45383</v>
      </c>
      <c r="F102" s="3">
        <f t="shared" si="66"/>
        <v>2024</v>
      </c>
      <c r="G102" s="3">
        <f>6*3.3</f>
        <v>19.799999999999997</v>
      </c>
      <c r="H102" s="16">
        <f t="shared" si="60"/>
        <v>0.5</v>
      </c>
      <c r="I102" s="5">
        <f t="shared" si="67"/>
        <v>9.8999999999999986</v>
      </c>
      <c r="J102" s="2">
        <f>VLOOKUP($C102,'Prod. et Profil'!$C:$R,'Prod. et Profil'!$E$1,FALSE)</f>
        <v>3080.7453416149069</v>
      </c>
      <c r="K102" s="8">
        <f t="shared" si="68"/>
        <v>30.499378881987575</v>
      </c>
      <c r="L102" s="34">
        <f>1-VLOOKUP($C102,'Prod. et Profil'!$C:$AR,INDEX('Prod. et Profil'!$AF$1:$AQ$3,1,MONTH($E102)),FALSE)+_xlfn.DAYS(EOMONTH($E102,0),$E102)/DAY(EOMONTH($E102,0))*VLOOKUP($C102,'Prod. et Profil'!$C:$AR,INDEX('Prod. et Profil'!$T$1:$AE$3,1,MONTH($E102)),FALSE)</f>
        <v>0.69006610304659499</v>
      </c>
      <c r="M102" s="41">
        <f t="shared" si="61"/>
        <v>21.046587530434781</v>
      </c>
      <c r="N102" s="2" t="s">
        <v>122</v>
      </c>
      <c r="O102" s="3">
        <v>66.900000000000006</v>
      </c>
      <c r="P102" s="8">
        <f t="shared" si="69"/>
        <v>2.0404084472049688</v>
      </c>
      <c r="Q102" s="8">
        <f t="shared" si="70"/>
        <v>1.4080167057860871</v>
      </c>
      <c r="R102" s="3">
        <f t="shared" si="65"/>
        <v>2044</v>
      </c>
      <c r="S102" s="5">
        <f t="shared" si="64"/>
        <v>66.900000000000006</v>
      </c>
      <c r="T102" s="8">
        <f t="shared" si="71"/>
        <v>2.0404084472049688</v>
      </c>
      <c r="U102" s="8">
        <f t="shared" si="72"/>
        <v>2.0404084472049688</v>
      </c>
      <c r="V102" s="8">
        <f t="shared" si="73"/>
        <v>0.63239174141888188</v>
      </c>
      <c r="W102" s="44">
        <f t="shared" si="59"/>
        <v>52687</v>
      </c>
      <c r="X102" s="3">
        <f t="shared" si="74"/>
        <v>2044</v>
      </c>
    </row>
    <row r="103" spans="1:24" x14ac:dyDescent="0.25">
      <c r="A103" s="9"/>
      <c r="B103" s="22" t="s">
        <v>149</v>
      </c>
      <c r="C103" s="22" t="str">
        <f t="shared" si="63"/>
        <v>Saint-André - off</v>
      </c>
      <c r="D103" s="22" t="str">
        <f>VLOOKUP("Saint-André",$B:$X,D$1,FALSE)</f>
        <v>Eolien</v>
      </c>
      <c r="E103" s="23">
        <f>VLOOKUP("Saint-André - Repowering",$B:$X,E$1,FALSE)-365/12*8</f>
        <v>45413.666666666664</v>
      </c>
      <c r="F103" s="22">
        <f t="shared" si="66"/>
        <v>2024</v>
      </c>
      <c r="G103" s="22">
        <f>-VLOOKUP("Saint-André",$B:$X,G$1,FALSE)</f>
        <v>-11.5</v>
      </c>
      <c r="H103" s="21">
        <f t="shared" si="60"/>
        <v>1</v>
      </c>
      <c r="I103" s="22">
        <f t="shared" si="67"/>
        <v>-11.5</v>
      </c>
      <c r="J103" s="24">
        <f>VLOOKUP($C103,'Prod. et Profil'!$C:$R,'Prod. et Profil'!$E$1,FALSE)</f>
        <v>1765.2173043478265</v>
      </c>
      <c r="K103" s="25">
        <f t="shared" si="68"/>
        <v>-20.299999000000003</v>
      </c>
      <c r="L103" s="21">
        <f>1-VLOOKUP($C103,'Prod. et Profil'!$C:$AR,INDEX('Prod. et Profil'!$AF$1:$AQ$3,1,MONTH($E103)),FALSE)+_xlfn.DAYS(EOMONTH($E103,0),$E103)/DAY(EOMONTH($E103,0))*VLOOKUP($C103,'Prod. et Profil'!$C:$AR,INDEX('Prod. et Profil'!$T$1:$AE$3,1,MONTH($E103)),FALSE)</f>
        <v>0.607649766148328</v>
      </c>
      <c r="M103" s="29">
        <f t="shared" si="61"/>
        <v>-12.335289645161295</v>
      </c>
      <c r="N103" s="24" t="s">
        <v>120</v>
      </c>
      <c r="O103" s="22">
        <v>0</v>
      </c>
      <c r="P103" s="25" t="str">
        <f t="shared" si="69"/>
        <v>Off</v>
      </c>
      <c r="Q103" s="25" t="str">
        <f t="shared" si="70"/>
        <v>Off</v>
      </c>
      <c r="R103" s="22">
        <f t="shared" si="65"/>
        <v>2024</v>
      </c>
      <c r="S103" s="26" t="str">
        <f>IF($N103="Off","Off",IF(AND($D103="Eolien",OR($N103="FiT",$N103="CR16")),IF(J103&lt;=2400,82,IF(AND(J103&gt;2400,J103&lt;=2800),(((82-68)/(2400-2800))*J103)+(((2400*68)-(2800*82))/(2400-2800)),IF(AND(J103&gt;2800,J103&lt;=3600),(((68-28)/(2800-3600))*J103)+(((2800*28)-(3600*68))/(2800-3600)),28))),$O103))</f>
        <v>Off</v>
      </c>
      <c r="T103" s="25" t="str">
        <f t="shared" si="71"/>
        <v>Off</v>
      </c>
      <c r="U103" s="25" t="str">
        <f t="shared" si="72"/>
        <v>Off</v>
      </c>
      <c r="V103" s="25" t="str">
        <f t="shared" si="73"/>
        <v>Off</v>
      </c>
      <c r="W103" s="46">
        <f t="shared" si="59"/>
        <v>45413.666666666664</v>
      </c>
      <c r="X103" s="22">
        <f t="shared" si="74"/>
        <v>2024</v>
      </c>
    </row>
    <row r="104" spans="1:24" x14ac:dyDescent="0.25">
      <c r="A104" s="9"/>
      <c r="B104" s="3" t="s">
        <v>150</v>
      </c>
      <c r="C104" s="3" t="str">
        <f t="shared" si="63"/>
        <v>COD autres éolien 2024</v>
      </c>
      <c r="D104" s="3" t="s">
        <v>24</v>
      </c>
      <c r="E104" s="12">
        <v>45474</v>
      </c>
      <c r="F104" s="3">
        <f t="shared" si="66"/>
        <v>2024</v>
      </c>
      <c r="G104" s="3">
        <v>152.6</v>
      </c>
      <c r="H104" s="16">
        <f t="shared" si="60"/>
        <v>0.5</v>
      </c>
      <c r="I104" s="5">
        <f t="shared" si="67"/>
        <v>76.3</v>
      </c>
      <c r="J104" s="2">
        <f>VLOOKUP($C104,'Prod. et Profil'!$C:$R,'Prod. et Profil'!$E$1,FALSE)</f>
        <v>2200</v>
      </c>
      <c r="K104" s="8">
        <f t="shared" si="68"/>
        <v>167.86</v>
      </c>
      <c r="L104" s="34">
        <f>1-VLOOKUP($C104,'Prod. et Profil'!$C:$AR,INDEX('Prod. et Profil'!$AF$1:$AQ$3,1,MONTH($E104)),FALSE)+_xlfn.DAYS(EOMONTH($E104,0),$E104)/DAY(EOMONTH($E104,0))*VLOOKUP($C104,'Prod. et Profil'!$C:$AR,INDEX('Prod. et Profil'!$T$1:$AE$3,1,MONTH($E104)),FALSE)</f>
        <v>0.48678709677419352</v>
      </c>
      <c r="M104" s="41">
        <f t="shared" si="61"/>
        <v>81.712082064516125</v>
      </c>
      <c r="N104" s="2" t="s">
        <v>122</v>
      </c>
      <c r="O104" s="31">
        <v>58</v>
      </c>
      <c r="P104" s="8">
        <f t="shared" si="69"/>
        <v>9.7358800000000016</v>
      </c>
      <c r="Q104" s="8">
        <f t="shared" si="70"/>
        <v>4.7393007597419352</v>
      </c>
      <c r="R104" s="3">
        <f t="shared" si="65"/>
        <v>2044</v>
      </c>
      <c r="S104" s="5">
        <f t="shared" ref="S104:S111" si="75">IF($N104="Off","Off",IF(AND($D104="Eolien",OR($N104="FiT",$N104="CR16")),IF(J104&lt;=2400,$O104,IF(AND(J104&gt;2400,J104&lt;=2800),((($O104-68)/(2400-2800))*J104)+(((2400*68)-(2800*$O104))/(2400-2800)),IF(AND(J104&gt;2800,J104&lt;=3600),(((68-28)/(2800-3600))*J104)+(((2800*28)-(3600*68))/(2800-3600)),28))),$O104))</f>
        <v>58</v>
      </c>
      <c r="T104" s="8">
        <f t="shared" si="71"/>
        <v>9.7358800000000016</v>
      </c>
      <c r="U104" s="8">
        <f t="shared" si="72"/>
        <v>9.7358800000000016</v>
      </c>
      <c r="V104" s="8">
        <f t="shared" si="73"/>
        <v>4.9965792402580655</v>
      </c>
      <c r="W104" s="44">
        <f t="shared" si="59"/>
        <v>52778</v>
      </c>
      <c r="X104" s="3">
        <f t="shared" si="74"/>
        <v>2044</v>
      </c>
    </row>
    <row r="105" spans="1:24" x14ac:dyDescent="0.25">
      <c r="A105" s="9"/>
      <c r="B105" s="3" t="s">
        <v>151</v>
      </c>
      <c r="C105" s="3" t="str">
        <f t="shared" si="63"/>
        <v>COD autres PV 2024</v>
      </c>
      <c r="D105" s="3" t="s">
        <v>73</v>
      </c>
      <c r="E105" s="12">
        <v>45474</v>
      </c>
      <c r="F105" s="3">
        <f t="shared" si="66"/>
        <v>2024</v>
      </c>
      <c r="G105" s="3">
        <v>134</v>
      </c>
      <c r="H105" s="16">
        <f t="shared" si="60"/>
        <v>0.5</v>
      </c>
      <c r="I105" s="5">
        <f t="shared" si="67"/>
        <v>67</v>
      </c>
      <c r="J105" s="2">
        <f>VLOOKUP($C105,'Prod. et Profil'!$C:$R,'Prod. et Profil'!$E$1,FALSE)</f>
        <v>1200</v>
      </c>
      <c r="K105" s="8">
        <f t="shared" si="68"/>
        <v>80.400000000000006</v>
      </c>
      <c r="L105" s="34">
        <f>1-VLOOKUP($C105,'Prod. et Profil'!$C:$AR,INDEX('Prod. et Profil'!$AF$1:$AQ$3,1,MONTH($E105)),FALSE)+_xlfn.DAYS(EOMONTH($E105,0),$E105)/DAY(EOMONTH($E105,0))*VLOOKUP($C105,'Prod. et Profil'!$C:$AR,INDEX('Prod. et Profil'!$T$1:$AE$3,1,MONTH($E105)),FALSE)</f>
        <v>0.47798695953588544</v>
      </c>
      <c r="M105" s="41">
        <f t="shared" si="61"/>
        <v>38.430151546685195</v>
      </c>
      <c r="N105" s="2" t="s">
        <v>122</v>
      </c>
      <c r="O105" s="31">
        <v>53</v>
      </c>
      <c r="P105" s="8">
        <f t="shared" si="69"/>
        <v>4.2612000000000005</v>
      </c>
      <c r="Q105" s="8">
        <f t="shared" si="70"/>
        <v>2.0367980319743153</v>
      </c>
      <c r="R105" s="3">
        <f t="shared" si="65"/>
        <v>2044</v>
      </c>
      <c r="S105" s="5">
        <f t="shared" si="75"/>
        <v>53</v>
      </c>
      <c r="T105" s="8">
        <f t="shared" si="71"/>
        <v>4.2612000000000005</v>
      </c>
      <c r="U105" s="8">
        <f t="shared" si="72"/>
        <v>4.2612000000000005</v>
      </c>
      <c r="V105" s="8">
        <f t="shared" si="73"/>
        <v>2.2244019680256852</v>
      </c>
      <c r="W105" s="44">
        <f t="shared" si="59"/>
        <v>52778</v>
      </c>
      <c r="X105" s="3">
        <f t="shared" si="74"/>
        <v>2044</v>
      </c>
    </row>
    <row r="106" spans="1:24" x14ac:dyDescent="0.25">
      <c r="A106" s="9"/>
      <c r="B106" s="3" t="s">
        <v>152</v>
      </c>
      <c r="C106" s="3" t="str">
        <f t="shared" si="63"/>
        <v>Saint-André - Repowering</v>
      </c>
      <c r="D106" s="3" t="s">
        <v>24</v>
      </c>
      <c r="E106" s="12">
        <v>45657</v>
      </c>
      <c r="F106" s="3">
        <f t="shared" si="66"/>
        <v>2024</v>
      </c>
      <c r="G106" s="5">
        <f>15</f>
        <v>15</v>
      </c>
      <c r="H106" s="16">
        <f t="shared" ref="H106:H111" si="76">IF(OR($F106&lt;=2021,$G106&lt;0),100%,IF($F106=2022,80%,IF($F106=2023,70%,IF($F106=2024,50%,40%))))</f>
        <v>0.5</v>
      </c>
      <c r="I106" s="5">
        <f t="shared" si="67"/>
        <v>7.5</v>
      </c>
      <c r="J106" s="2">
        <f>VLOOKUP($C106,'Prod. et Profil'!$C:$R,'Prod. et Profil'!$E$1,FALSE)</f>
        <v>3110</v>
      </c>
      <c r="K106" s="8">
        <f t="shared" si="68"/>
        <v>23.324999999999999</v>
      </c>
      <c r="L106" s="16">
        <f>1-VLOOKUP($C106,'Prod. et Profil'!$C:$AR,INDEX('Prod. et Profil'!$AF$1:$AQ$3,1,MONTH($E106)),FALSE)+_xlfn.DAYS(EOMONTH($E106,0),$E106)/DAY(EOMONTH($E106,0))*VLOOKUP($C106,'Prod. et Profil'!$C:$AR,INDEX('Prod. et Profil'!$T$1:$AE$3,1,MONTH($E106)),FALSE)</f>
        <v>1.1102230246251565E-16</v>
      </c>
      <c r="M106" s="28">
        <f t="shared" si="61"/>
        <v>2.5895952049381776E-15</v>
      </c>
      <c r="N106" s="2" t="s">
        <v>122</v>
      </c>
      <c r="O106" s="3">
        <v>62</v>
      </c>
      <c r="P106" s="8">
        <f t="shared" si="69"/>
        <v>1.4461499999999998</v>
      </c>
      <c r="Q106" s="8">
        <f t="shared" si="70"/>
        <v>1.6055490270616699E-16</v>
      </c>
      <c r="R106" s="3">
        <f t="shared" si="65"/>
        <v>2044</v>
      </c>
      <c r="S106" s="5">
        <f t="shared" si="75"/>
        <v>62</v>
      </c>
      <c r="T106" s="8">
        <f t="shared" si="71"/>
        <v>1.4461499999999998</v>
      </c>
      <c r="U106" s="8">
        <f t="shared" si="72"/>
        <v>1.4461499999999998</v>
      </c>
      <c r="V106" s="8">
        <f t="shared" si="73"/>
        <v>1.4461499999999996</v>
      </c>
      <c r="W106" s="44">
        <f t="shared" si="59"/>
        <v>52961</v>
      </c>
      <c r="X106" s="3">
        <f t="shared" si="74"/>
        <v>2044</v>
      </c>
    </row>
    <row r="107" spans="1:24" x14ac:dyDescent="0.25">
      <c r="A107" s="9"/>
      <c r="B107" s="3" t="s">
        <v>153</v>
      </c>
      <c r="C107" s="3" t="str">
        <f t="shared" si="63"/>
        <v>COD autres éolien 2025</v>
      </c>
      <c r="D107" s="3" t="s">
        <v>24</v>
      </c>
      <c r="E107" s="12">
        <v>45839</v>
      </c>
      <c r="F107" s="3">
        <f t="shared" si="66"/>
        <v>2025</v>
      </c>
      <c r="G107" s="3">
        <v>205.1</v>
      </c>
      <c r="H107" s="16">
        <f t="shared" si="76"/>
        <v>0.4</v>
      </c>
      <c r="I107" s="5">
        <f t="shared" si="67"/>
        <v>82.04</v>
      </c>
      <c r="J107" s="2">
        <f>VLOOKUP($C107,'Prod. et Profil'!$C:$R,'Prod. et Profil'!$E$1,FALSE)</f>
        <v>2200</v>
      </c>
      <c r="K107" s="8">
        <f t="shared" si="68"/>
        <v>180.488</v>
      </c>
      <c r="L107" s="34">
        <f>1-VLOOKUP($C107,'Prod. et Profil'!$C:$AR,INDEX('Prod. et Profil'!$AF$1:$AQ$3,1,MONTH($E107)),FALSE)+_xlfn.DAYS(EOMONTH($E107,0),$E107)/DAY(EOMONTH($E107,0))*VLOOKUP($C107,'Prod. et Profil'!$C:$AR,INDEX('Prod. et Profil'!$T$1:$AE$3,1,MONTH($E107)),FALSE)</f>
        <v>0.48678709677419352</v>
      </c>
      <c r="M107" s="41">
        <f t="shared" si="61"/>
        <v>87.859229522580634</v>
      </c>
      <c r="N107" s="2" t="s">
        <v>122</v>
      </c>
      <c r="O107" s="31">
        <v>55</v>
      </c>
      <c r="P107" s="8">
        <f t="shared" si="69"/>
        <v>9.9268400000000003</v>
      </c>
      <c r="Q107" s="8">
        <f t="shared" si="70"/>
        <v>4.8322576237419357</v>
      </c>
      <c r="R107" s="3">
        <f t="shared" si="65"/>
        <v>2045</v>
      </c>
      <c r="S107" s="5">
        <f t="shared" si="75"/>
        <v>55</v>
      </c>
      <c r="T107" s="8">
        <f t="shared" si="71"/>
        <v>9.9268400000000003</v>
      </c>
      <c r="U107" s="8">
        <f t="shared" si="72"/>
        <v>9.9268400000000003</v>
      </c>
      <c r="V107" s="8">
        <f t="shared" si="73"/>
        <v>5.0945823762580646</v>
      </c>
      <c r="W107" s="44">
        <f t="shared" si="59"/>
        <v>53143</v>
      </c>
      <c r="X107" s="3">
        <f t="shared" si="74"/>
        <v>2045</v>
      </c>
    </row>
    <row r="108" spans="1:24" x14ac:dyDescent="0.25">
      <c r="A108" s="9"/>
      <c r="B108" s="3" t="s">
        <v>154</v>
      </c>
      <c r="C108" s="3" t="str">
        <f t="shared" si="63"/>
        <v>COD autres PV 2025</v>
      </c>
      <c r="D108" s="3" t="s">
        <v>73</v>
      </c>
      <c r="E108" s="12">
        <v>45839</v>
      </c>
      <c r="F108" s="3">
        <f t="shared" si="66"/>
        <v>2025</v>
      </c>
      <c r="G108" s="42">
        <v>180</v>
      </c>
      <c r="H108" s="16">
        <f t="shared" si="76"/>
        <v>0.4</v>
      </c>
      <c r="I108" s="5">
        <f t="shared" si="67"/>
        <v>72</v>
      </c>
      <c r="J108" s="2">
        <f>VLOOKUP($C108,'Prod. et Profil'!$C:$R,'Prod. et Profil'!$E$1,FALSE)</f>
        <v>1200</v>
      </c>
      <c r="K108" s="8">
        <f t="shared" si="68"/>
        <v>86.4</v>
      </c>
      <c r="L108" s="34">
        <f>1-VLOOKUP($C108,'Prod. et Profil'!$C:$AR,INDEX('Prod. et Profil'!$AF$1:$AQ$3,1,MONTH($E108)),FALSE)+_xlfn.DAYS(EOMONTH($E108,0),$E108)/DAY(EOMONTH($E108,0))*VLOOKUP($C108,'Prod. et Profil'!$C:$AR,INDEX('Prod. et Profil'!$T$1:$AE$3,1,MONTH($E108)),FALSE)</f>
        <v>0.47798695953588544</v>
      </c>
      <c r="M108" s="41">
        <f t="shared" si="61"/>
        <v>41.298073303900502</v>
      </c>
      <c r="N108" s="2" t="s">
        <v>122</v>
      </c>
      <c r="O108" s="31">
        <v>50</v>
      </c>
      <c r="P108" s="8">
        <f t="shared" si="69"/>
        <v>4.32</v>
      </c>
      <c r="Q108" s="8">
        <f t="shared" si="70"/>
        <v>2.064903665195025</v>
      </c>
      <c r="R108" s="3">
        <f t="shared" si="65"/>
        <v>2045</v>
      </c>
      <c r="S108" s="5">
        <f t="shared" si="75"/>
        <v>50</v>
      </c>
      <c r="T108" s="8">
        <f t="shared" si="71"/>
        <v>4.32</v>
      </c>
      <c r="U108" s="8">
        <f t="shared" si="72"/>
        <v>4.32</v>
      </c>
      <c r="V108" s="8">
        <f t="shared" si="73"/>
        <v>2.2550963348049753</v>
      </c>
      <c r="W108" s="44">
        <f t="shared" si="59"/>
        <v>53143</v>
      </c>
      <c r="X108" s="3">
        <f t="shared" si="74"/>
        <v>2045</v>
      </c>
    </row>
    <row r="109" spans="1:24" x14ac:dyDescent="0.25">
      <c r="A109" s="9"/>
      <c r="B109" s="3" t="s">
        <v>155</v>
      </c>
      <c r="C109" s="3" t="str">
        <f t="shared" si="63"/>
        <v>LML</v>
      </c>
      <c r="D109" s="3" t="s">
        <v>24</v>
      </c>
      <c r="E109" s="12">
        <v>45992</v>
      </c>
      <c r="F109" s="3">
        <f t="shared" si="66"/>
        <v>2025</v>
      </c>
      <c r="G109" s="3">
        <v>68</v>
      </c>
      <c r="H109" s="34">
        <f t="shared" si="76"/>
        <v>0.4</v>
      </c>
      <c r="I109" s="5">
        <f t="shared" si="67"/>
        <v>27.200000000000003</v>
      </c>
      <c r="J109" s="2">
        <f>VLOOKUP($C109,'Prod. et Profil'!$C:$R,'Prod. et Profil'!$E$1,FALSE)</f>
        <v>2330</v>
      </c>
      <c r="K109" s="8">
        <f t="shared" si="68"/>
        <v>63.376000000000005</v>
      </c>
      <c r="L109" s="34">
        <f>1-VLOOKUP($C109,'Prod. et Profil'!$C:$AR,INDEX('Prod. et Profil'!$AF$1:$AQ$3,1,MONTH($E109)),FALSE)+_xlfn.DAYS(EOMONTH($E109,0),$E109)/DAY(EOMONTH($E109,0))*VLOOKUP($C109,'Prod. et Profil'!$C:$AR,INDEX('Prod. et Profil'!$T$1:$AE$3,1,MONTH($E109)),FALSE)</f>
        <v>9.0961290322580449E-2</v>
      </c>
      <c r="M109" s="41">
        <f t="shared" si="61"/>
        <v>5.7647627354838589</v>
      </c>
      <c r="N109" s="2" t="s">
        <v>122</v>
      </c>
      <c r="O109" s="3">
        <v>57.07</v>
      </c>
      <c r="P109" s="8">
        <f t="shared" si="69"/>
        <v>3.6168683200000005</v>
      </c>
      <c r="Q109" s="8">
        <f t="shared" si="70"/>
        <v>0.32899500931406384</v>
      </c>
      <c r="R109" s="3">
        <f t="shared" si="65"/>
        <v>2045</v>
      </c>
      <c r="S109" s="5">
        <f t="shared" si="75"/>
        <v>57.07</v>
      </c>
      <c r="T109" s="8">
        <f t="shared" si="71"/>
        <v>3.6168683200000005</v>
      </c>
      <c r="U109" s="8">
        <f t="shared" si="72"/>
        <v>3.61686832</v>
      </c>
      <c r="V109" s="8">
        <f t="shared" si="73"/>
        <v>3.2878733106859368</v>
      </c>
      <c r="W109" s="44">
        <f t="shared" si="59"/>
        <v>53296</v>
      </c>
      <c r="X109" s="3">
        <f t="shared" si="74"/>
        <v>2045</v>
      </c>
    </row>
    <row r="110" spans="1:24" x14ac:dyDescent="0.25">
      <c r="A110" s="9"/>
      <c r="B110" s="3" t="s">
        <v>156</v>
      </c>
      <c r="C110" s="3" t="str">
        <f t="shared" si="63"/>
        <v>Michelin</v>
      </c>
      <c r="D110" s="3" t="s">
        <v>73</v>
      </c>
      <c r="E110" s="12">
        <v>45992</v>
      </c>
      <c r="F110" s="3">
        <f t="shared" si="66"/>
        <v>2025</v>
      </c>
      <c r="G110" s="3">
        <v>106</v>
      </c>
      <c r="H110" s="16">
        <f t="shared" si="76"/>
        <v>0.4</v>
      </c>
      <c r="I110" s="5">
        <f t="shared" si="67"/>
        <v>42.400000000000006</v>
      </c>
      <c r="J110" s="2">
        <f>VLOOKUP($C110,'Prod. et Profil'!$C:$R,'Prod. et Profil'!$E$1,FALSE)</f>
        <v>1493.3962264150944</v>
      </c>
      <c r="K110" s="8">
        <f t="shared" si="68"/>
        <v>63.320000000000007</v>
      </c>
      <c r="L110" s="34">
        <f>1-VLOOKUP($C110,'Prod. et Profil'!$C:$AR,INDEX('Prod. et Profil'!$AF$1:$AQ$3,1,MONTH($E110)),FALSE)+_xlfn.DAYS(EOMONTH($E110,0),$E110)/DAY(EOMONTH($E110,0))*VLOOKUP($C110,'Prod. et Profil'!$C:$AR,INDEX('Prod. et Profil'!$T$1:$AE$3,1,MONTH($E110)),FALSE)</f>
        <v>3.500988804974086E-2</v>
      </c>
      <c r="M110" s="41">
        <f t="shared" si="61"/>
        <v>2.2168261113095915</v>
      </c>
      <c r="N110" s="2" t="s">
        <v>157</v>
      </c>
      <c r="O110" s="31">
        <v>45</v>
      </c>
      <c r="P110" s="8">
        <f t="shared" si="69"/>
        <v>2.8494000000000006</v>
      </c>
      <c r="Q110" s="8">
        <f t="shared" si="70"/>
        <v>9.9757175008931609E-2</v>
      </c>
      <c r="R110" s="3">
        <f t="shared" si="65"/>
        <v>2045</v>
      </c>
      <c r="S110" s="5">
        <f t="shared" si="75"/>
        <v>45</v>
      </c>
      <c r="T110" s="8">
        <f t="shared" si="71"/>
        <v>2.8494000000000006</v>
      </c>
      <c r="U110" s="8">
        <f t="shared" si="72"/>
        <v>2.8494000000000006</v>
      </c>
      <c r="V110" s="8">
        <f t="shared" si="73"/>
        <v>2.7496428249910685</v>
      </c>
      <c r="W110" s="44">
        <f t="shared" si="59"/>
        <v>53296</v>
      </c>
      <c r="X110" s="3">
        <f t="shared" si="74"/>
        <v>2045</v>
      </c>
    </row>
    <row r="111" spans="1:24" x14ac:dyDescent="0.25">
      <c r="A111" s="3"/>
      <c r="B111" s="3" t="s">
        <v>158</v>
      </c>
      <c r="C111" s="3" t="str">
        <f t="shared" si="63"/>
        <v>Helfaut</v>
      </c>
      <c r="D111" s="3" t="s">
        <v>24</v>
      </c>
      <c r="E111" s="12">
        <v>45992</v>
      </c>
      <c r="F111" s="3">
        <f t="shared" si="66"/>
        <v>2025</v>
      </c>
      <c r="G111" s="3">
        <f>5*4</f>
        <v>20</v>
      </c>
      <c r="H111" s="16">
        <f t="shared" si="76"/>
        <v>0.4</v>
      </c>
      <c r="I111" s="5">
        <f t="shared" si="67"/>
        <v>8</v>
      </c>
      <c r="J111" s="2">
        <f>VLOOKUP($C111,'Prod. et Profil'!$C:$R,'Prod. et Profil'!$E$1,FALSE)</f>
        <v>2416.8253968253971</v>
      </c>
      <c r="K111" s="8">
        <f t="shared" si="68"/>
        <v>19.334603174603178</v>
      </c>
      <c r="L111" s="34">
        <f>1-VLOOKUP($C111,'Prod. et Profil'!$C:$AR,INDEX('Prod. et Profil'!$AF$1:$AQ$3,1,MONTH($E111)),FALSE)+_xlfn.DAYS(EOMONTH($E111,0),$E111)/DAY(EOMONTH($E111,0))*VLOOKUP($C111,'Prod. et Profil'!$C:$AR,INDEX('Prod. et Profil'!$T$1:$AE$3,1,MONTH($E111)),FALSE)</f>
        <v>0.10790865454771144</v>
      </c>
      <c r="M111" s="41">
        <f t="shared" si="61"/>
        <v>2.0863710147853394</v>
      </c>
      <c r="N111" s="10" t="s">
        <v>122</v>
      </c>
      <c r="O111" s="3">
        <v>55</v>
      </c>
      <c r="P111" s="8">
        <f t="shared" si="69"/>
        <v>1.0634031746031749</v>
      </c>
      <c r="Q111" s="8">
        <f t="shared" si="70"/>
        <v>0.11475040581319366</v>
      </c>
      <c r="R111" s="3">
        <f t="shared" si="65"/>
        <v>2045</v>
      </c>
      <c r="S111" s="5">
        <f t="shared" si="75"/>
        <v>55</v>
      </c>
      <c r="T111" s="8">
        <f t="shared" si="71"/>
        <v>1.0634031746031749</v>
      </c>
      <c r="U111" s="8">
        <f t="shared" si="72"/>
        <v>1.0634031746031749</v>
      </c>
      <c r="V111" s="8">
        <f t="shared" si="73"/>
        <v>0.94865276878998106</v>
      </c>
      <c r="W111" s="44">
        <f t="shared" si="59"/>
        <v>53296</v>
      </c>
      <c r="X111" s="3">
        <f t="shared" si="74"/>
        <v>2045</v>
      </c>
    </row>
    <row r="112" spans="1:24" x14ac:dyDescent="0.25">
      <c r="A112" s="3"/>
      <c r="B112" s="3"/>
      <c r="C112" s="3"/>
      <c r="D112" s="3"/>
      <c r="E112" s="12"/>
      <c r="F112" s="3"/>
      <c r="G112" s="3"/>
      <c r="H112" s="3"/>
      <c r="I112" s="5"/>
      <c r="J112" s="2"/>
      <c r="K112" s="8"/>
      <c r="L112" s="8"/>
      <c r="M112" s="8"/>
      <c r="N112" s="2"/>
      <c r="O112" s="3"/>
      <c r="P112" s="8"/>
      <c r="Q112" s="8"/>
      <c r="R112" s="3"/>
      <c r="S112" s="5"/>
      <c r="T112" s="8"/>
      <c r="U112" s="8"/>
      <c r="V112" s="8"/>
      <c r="W112" s="3"/>
      <c r="X112" s="3"/>
    </row>
    <row r="113" spans="1:24" x14ac:dyDescent="0.25">
      <c r="A113" s="3"/>
      <c r="B113" s="3"/>
      <c r="C113" s="3"/>
      <c r="D113" s="3"/>
      <c r="E113" s="12"/>
      <c r="F113" s="3"/>
      <c r="G113" s="3"/>
      <c r="H113" s="3"/>
      <c r="I113" s="3"/>
      <c r="J113" s="2"/>
      <c r="K113" s="8"/>
      <c r="L113" s="8"/>
      <c r="M113" s="8"/>
      <c r="N113" s="2"/>
      <c r="O113" s="3"/>
      <c r="P113" s="8"/>
      <c r="Q113" s="8"/>
      <c r="R113" s="3"/>
      <c r="S113" s="5"/>
      <c r="T113" s="8"/>
      <c r="U113" s="8"/>
      <c r="V113" s="8"/>
      <c r="W113" s="3"/>
      <c r="X113" s="3"/>
    </row>
    <row r="114" spans="1:2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8"/>
      <c r="L114" s="8"/>
      <c r="M114" s="8"/>
      <c r="N114" s="2"/>
      <c r="O114" s="3"/>
      <c r="P114" s="8"/>
      <c r="Q114" s="8"/>
      <c r="R114" s="3"/>
      <c r="S114" s="5"/>
      <c r="T114" s="8"/>
      <c r="U114" s="8"/>
      <c r="V114" s="8"/>
      <c r="W114" s="3"/>
      <c r="X114" s="3"/>
    </row>
    <row r="115" spans="1:2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8"/>
      <c r="L115" s="8"/>
      <c r="M115" s="8"/>
      <c r="N115" s="2"/>
      <c r="O115" s="3"/>
      <c r="P115" s="8"/>
      <c r="Q115" s="8"/>
      <c r="R115" s="3"/>
      <c r="S115" s="5"/>
      <c r="T115" s="8"/>
      <c r="U115" s="8"/>
      <c r="V115" s="8"/>
      <c r="W115" s="3"/>
      <c r="X115" s="3"/>
    </row>
    <row r="116" spans="1:2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8"/>
      <c r="L116" s="8"/>
      <c r="M116" s="8"/>
      <c r="N116" s="2"/>
      <c r="O116" s="3"/>
      <c r="P116" s="8"/>
      <c r="Q116" s="8"/>
      <c r="R116" s="3"/>
      <c r="S116" s="5"/>
      <c r="T116" s="8"/>
      <c r="U116" s="8"/>
      <c r="V116" s="8"/>
      <c r="W116" s="3"/>
      <c r="X116" s="3"/>
    </row>
    <row r="117" spans="1:2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8"/>
      <c r="L117" s="8"/>
      <c r="M117" s="8"/>
      <c r="N117" s="2"/>
      <c r="O117" s="3"/>
      <c r="P117" s="8"/>
      <c r="Q117" s="8"/>
      <c r="R117" s="3"/>
      <c r="S117" s="5"/>
      <c r="T117" s="8"/>
      <c r="U117" s="8"/>
      <c r="V117" s="8"/>
      <c r="W117" s="3"/>
      <c r="X117" s="3"/>
    </row>
    <row r="118" spans="1:2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8"/>
      <c r="L118" s="8"/>
      <c r="M118" s="8"/>
      <c r="N118" s="2"/>
      <c r="O118" s="3"/>
      <c r="P118" s="8"/>
      <c r="Q118" s="8"/>
      <c r="R118" s="3"/>
      <c r="S118" s="5"/>
      <c r="T118" s="8"/>
      <c r="U118" s="8"/>
      <c r="V118" s="8"/>
      <c r="W118" s="3"/>
      <c r="X118" s="3"/>
    </row>
    <row r="119" spans="1:2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8"/>
      <c r="L119" s="8"/>
      <c r="M119" s="8"/>
      <c r="N119" s="2"/>
      <c r="O119" s="3"/>
      <c r="P119" s="8"/>
      <c r="Q119" s="8"/>
      <c r="R119" s="3"/>
      <c r="S119" s="5"/>
      <c r="T119" s="8"/>
      <c r="U119" s="8"/>
      <c r="V119" s="8"/>
      <c r="W119" s="3"/>
      <c r="X119" s="3"/>
    </row>
    <row r="120" spans="1:2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8"/>
      <c r="L120" s="8"/>
      <c r="M120" s="8"/>
      <c r="N120" s="2"/>
      <c r="O120" s="3"/>
      <c r="P120" s="8"/>
      <c r="Q120" s="8"/>
      <c r="R120" s="3"/>
      <c r="S120" s="5"/>
      <c r="T120" s="8"/>
      <c r="U120" s="8"/>
      <c r="V120" s="8"/>
      <c r="W120" s="3"/>
      <c r="X120" s="3"/>
    </row>
    <row r="121" spans="1:2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8"/>
      <c r="L121" s="8"/>
      <c r="M121" s="8"/>
      <c r="N121" s="2"/>
      <c r="O121" s="3"/>
      <c r="P121" s="8"/>
      <c r="Q121" s="8"/>
      <c r="R121" s="3"/>
      <c r="S121" s="5"/>
      <c r="T121" s="8"/>
      <c r="U121" s="8"/>
      <c r="V121" s="8"/>
      <c r="W121" s="3"/>
      <c r="X121" s="3"/>
    </row>
    <row r="122" spans="1:2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8"/>
      <c r="L122" s="8"/>
      <c r="M122" s="8"/>
      <c r="N122" s="2"/>
      <c r="O122" s="3"/>
      <c r="P122" s="8"/>
      <c r="Q122" s="8"/>
      <c r="R122" s="3"/>
      <c r="S122" s="5"/>
      <c r="T122" s="8"/>
      <c r="U122" s="8"/>
      <c r="V122" s="8"/>
      <c r="W122" s="3"/>
      <c r="X122" s="3"/>
    </row>
    <row r="123" spans="1:24" x14ac:dyDescent="0.25">
      <c r="B123" s="3"/>
      <c r="C123" s="3"/>
      <c r="D123" s="3"/>
      <c r="E123" s="3"/>
      <c r="F123" s="3"/>
      <c r="G123" s="3"/>
      <c r="H123" s="3"/>
      <c r="I123" s="3"/>
      <c r="J123" s="2"/>
      <c r="R123" s="3"/>
      <c r="W123" s="3"/>
      <c r="X123" s="3"/>
    </row>
    <row r="124" spans="1:24" x14ac:dyDescent="0.25">
      <c r="B124" s="3"/>
      <c r="C124" s="3"/>
      <c r="D124" s="3"/>
      <c r="E124" s="3"/>
      <c r="F124" s="3"/>
      <c r="G124" s="3"/>
      <c r="H124" s="3"/>
      <c r="I124" s="3"/>
      <c r="J124" s="2"/>
      <c r="R124" s="3"/>
      <c r="W124" s="3"/>
      <c r="X124" s="3"/>
    </row>
    <row r="125" spans="1:24" x14ac:dyDescent="0.25">
      <c r="B125" s="3"/>
      <c r="C125" s="3"/>
      <c r="D125" s="3"/>
      <c r="E125" s="3"/>
      <c r="F125" s="3"/>
      <c r="G125" s="3"/>
      <c r="H125" s="3"/>
      <c r="I125" s="3"/>
      <c r="J125" s="2"/>
      <c r="R125" s="3"/>
      <c r="W125" s="3"/>
      <c r="X125" s="3"/>
    </row>
    <row r="126" spans="1:24" x14ac:dyDescent="0.25">
      <c r="B126" s="3"/>
      <c r="C126" s="3"/>
      <c r="D126" s="3"/>
      <c r="E126" s="3"/>
      <c r="F126" s="3"/>
      <c r="G126" s="3"/>
      <c r="H126" s="3"/>
      <c r="I126" s="3"/>
      <c r="J126" s="2"/>
      <c r="R126" s="3"/>
      <c r="W126" s="3"/>
      <c r="X126" s="3"/>
    </row>
    <row r="127" spans="1:24" x14ac:dyDescent="0.25">
      <c r="B127" s="3"/>
      <c r="C127" s="3"/>
      <c r="D127" s="3"/>
      <c r="E127" s="3"/>
      <c r="F127" s="3"/>
      <c r="G127" s="3"/>
      <c r="H127" s="3"/>
      <c r="I127" s="3"/>
      <c r="J127" s="2"/>
      <c r="R127" s="3"/>
      <c r="W127" s="3"/>
      <c r="X127" s="3"/>
    </row>
    <row r="128" spans="1:24" x14ac:dyDescent="0.25">
      <c r="B128" s="3"/>
      <c r="C128" s="3"/>
      <c r="D128" s="3"/>
      <c r="E128" s="3"/>
      <c r="F128" s="3"/>
      <c r="G128" s="3"/>
      <c r="H128" s="3"/>
      <c r="I128" s="3"/>
      <c r="J128" s="2"/>
      <c r="R128" s="3"/>
      <c r="W128" s="3"/>
      <c r="X128" s="3"/>
    </row>
    <row r="129" spans="2:24" x14ac:dyDescent="0.25">
      <c r="B129" s="3"/>
      <c r="C129" s="3"/>
      <c r="D129" s="3"/>
      <c r="E129" s="3"/>
      <c r="F129" s="3"/>
      <c r="G129" s="3"/>
      <c r="H129" s="3"/>
      <c r="I129" s="3"/>
      <c r="J129" s="2"/>
      <c r="R129" s="3"/>
      <c r="W129" s="3"/>
      <c r="X129" s="3"/>
    </row>
    <row r="130" spans="2:24" x14ac:dyDescent="0.25">
      <c r="B130" s="3"/>
      <c r="C130" s="3"/>
      <c r="D130" s="3"/>
      <c r="E130" s="3"/>
      <c r="F130" s="3"/>
      <c r="G130" s="3"/>
      <c r="H130" s="3"/>
      <c r="I130" s="3"/>
      <c r="J130" s="2"/>
      <c r="R130" s="3"/>
      <c r="W130" s="3"/>
      <c r="X130" s="3"/>
    </row>
    <row r="131" spans="2:24" x14ac:dyDescent="0.25">
      <c r="B131" s="3"/>
      <c r="C131" s="3"/>
      <c r="D131" s="3"/>
      <c r="E131" s="3"/>
      <c r="F131" s="3"/>
      <c r="G131" s="3"/>
      <c r="H131" s="3"/>
      <c r="I131" s="3"/>
      <c r="J131" s="2"/>
      <c r="R131" s="3"/>
      <c r="W131" s="3"/>
      <c r="X131" s="3"/>
    </row>
    <row r="132" spans="2:24" x14ac:dyDescent="0.25">
      <c r="B132" s="3"/>
      <c r="C132" s="3"/>
      <c r="D132" s="3"/>
      <c r="E132" s="3"/>
      <c r="F132" s="3"/>
      <c r="G132" s="3"/>
      <c r="H132" s="3"/>
      <c r="I132" s="3"/>
      <c r="J132" s="2"/>
      <c r="R132" s="3"/>
      <c r="W132" s="3"/>
      <c r="X132" s="3"/>
    </row>
    <row r="133" spans="2:24" x14ac:dyDescent="0.25">
      <c r="B133" s="3"/>
      <c r="C133" s="3"/>
      <c r="D133" s="3"/>
      <c r="E133" s="3"/>
      <c r="F133" s="3"/>
      <c r="G133" s="3"/>
      <c r="H133" s="3"/>
      <c r="I133" s="3"/>
      <c r="J133" s="2"/>
      <c r="K133" s="11"/>
      <c r="L133" s="11"/>
      <c r="M133" s="11"/>
      <c r="N133" s="11"/>
      <c r="R133" s="3"/>
      <c r="W133" s="3"/>
      <c r="X133" s="3"/>
    </row>
    <row r="134" spans="2:24" x14ac:dyDescent="0.25">
      <c r="B134" s="3"/>
      <c r="C134" s="3"/>
      <c r="D134" s="3"/>
      <c r="E134" s="3"/>
      <c r="F134" s="3"/>
      <c r="G134" s="3"/>
      <c r="H134" s="3"/>
      <c r="I134" s="3"/>
      <c r="J134" s="2"/>
      <c r="K134" s="11"/>
      <c r="L134" s="11"/>
      <c r="M134" s="11"/>
      <c r="N134" s="11"/>
      <c r="R134" s="3"/>
      <c r="W134" s="3"/>
      <c r="X134" s="3"/>
    </row>
    <row r="135" spans="2:24" x14ac:dyDescent="0.25">
      <c r="B135" s="3"/>
      <c r="C135" s="3"/>
      <c r="D135" s="3"/>
      <c r="E135" s="3"/>
      <c r="F135" s="3"/>
      <c r="G135" s="3"/>
      <c r="H135" s="3"/>
      <c r="I135" s="3"/>
      <c r="J135" s="2"/>
      <c r="K135" s="11"/>
      <c r="L135" s="11"/>
      <c r="M135" s="11"/>
      <c r="N135" s="11"/>
      <c r="R135" s="3"/>
      <c r="W135" s="3"/>
      <c r="X135" s="3"/>
    </row>
    <row r="136" spans="2:24" x14ac:dyDescent="0.25">
      <c r="B136" s="3"/>
      <c r="C136" s="3"/>
      <c r="D136" s="3"/>
      <c r="E136" s="3"/>
      <c r="F136" s="3"/>
      <c r="G136" s="3"/>
      <c r="H136" s="3"/>
      <c r="I136" s="3"/>
      <c r="J136" s="2"/>
      <c r="K136" s="11"/>
      <c r="L136" s="11"/>
      <c r="M136" s="11"/>
      <c r="N136" s="11"/>
      <c r="R136" s="3"/>
      <c r="W136" s="3"/>
      <c r="X136" s="3"/>
    </row>
    <row r="137" spans="2:24" x14ac:dyDescent="0.25">
      <c r="B137" s="3"/>
      <c r="C137" s="3"/>
      <c r="D137" s="3"/>
      <c r="E137" s="3"/>
      <c r="F137" s="3"/>
      <c r="G137" s="3"/>
      <c r="H137" s="3"/>
      <c r="I137" s="3"/>
      <c r="J137" s="2"/>
      <c r="R137" s="3"/>
      <c r="W137" s="3"/>
      <c r="X137" s="3"/>
    </row>
    <row r="138" spans="2:24" x14ac:dyDescent="0.25">
      <c r="B138" s="3"/>
      <c r="C138" s="3"/>
      <c r="D138" s="3"/>
      <c r="E138" s="3"/>
      <c r="F138" s="3"/>
      <c r="G138" s="3"/>
      <c r="H138" s="3"/>
      <c r="I138" s="3"/>
      <c r="R138" s="3"/>
      <c r="W138" s="3"/>
      <c r="X138" s="3"/>
    </row>
    <row r="139" spans="2:24" x14ac:dyDescent="0.25">
      <c r="B139" s="3"/>
      <c r="C139" s="3"/>
      <c r="D139" s="3"/>
      <c r="E139" s="3"/>
      <c r="F139" s="3"/>
      <c r="G139" s="3"/>
      <c r="H139" s="3"/>
      <c r="I139" s="3"/>
      <c r="R139" s="3"/>
      <c r="W139" s="3"/>
      <c r="X139" s="3"/>
    </row>
    <row r="140" spans="2:24" x14ac:dyDescent="0.25">
      <c r="B140" s="3"/>
      <c r="C140" s="3"/>
      <c r="D140" s="3"/>
      <c r="E140" s="3"/>
      <c r="F140" s="3"/>
      <c r="G140" s="3"/>
      <c r="H140" s="3"/>
      <c r="I140" s="3"/>
      <c r="R140" s="3"/>
      <c r="W140" s="3"/>
      <c r="X140" s="3"/>
    </row>
    <row r="141" spans="2:24" x14ac:dyDescent="0.25">
      <c r="B141" s="3"/>
      <c r="C141" s="3"/>
      <c r="D141" s="3"/>
      <c r="E141" s="3"/>
      <c r="F141" s="3"/>
      <c r="G141" s="3"/>
      <c r="H141" s="3"/>
      <c r="I141" s="3"/>
      <c r="R141" s="3"/>
      <c r="W141" s="3"/>
      <c r="X141" s="3"/>
    </row>
    <row r="142" spans="2:24" x14ac:dyDescent="0.25">
      <c r="B142" s="3"/>
      <c r="C142" s="3"/>
      <c r="D142" s="3"/>
      <c r="E142" s="3"/>
      <c r="F142" s="3"/>
      <c r="G142" s="3"/>
      <c r="H142" s="3"/>
      <c r="I142" s="3"/>
      <c r="R142" s="3"/>
      <c r="W142" s="3"/>
      <c r="X142" s="3"/>
    </row>
    <row r="143" spans="2:24" x14ac:dyDescent="0.25">
      <c r="B143" s="3"/>
      <c r="C143" s="3"/>
      <c r="D143" s="3"/>
      <c r="E143" s="3"/>
      <c r="F143" s="3"/>
      <c r="G143" s="3"/>
      <c r="H143" s="3"/>
      <c r="I143" s="3"/>
      <c r="R143" s="3"/>
      <c r="W143" s="3"/>
      <c r="X143" s="3"/>
    </row>
    <row r="144" spans="2:24" x14ac:dyDescent="0.25">
      <c r="B144" s="3"/>
      <c r="C144" s="3"/>
      <c r="D144" s="3"/>
      <c r="E144" s="3"/>
      <c r="F144" s="3"/>
      <c r="G144" s="3"/>
      <c r="H144" s="3"/>
      <c r="I144" s="3"/>
      <c r="R144" s="3"/>
      <c r="W144" s="3"/>
      <c r="X144" s="3"/>
    </row>
    <row r="145" spans="2:24" x14ac:dyDescent="0.25">
      <c r="B145" s="3"/>
      <c r="C145" s="3"/>
      <c r="D145" s="3"/>
      <c r="E145" s="3"/>
      <c r="F145" s="3"/>
      <c r="G145" s="3"/>
      <c r="H145" s="3"/>
      <c r="I145" s="3"/>
      <c r="R145" s="3"/>
      <c r="W145" s="3"/>
      <c r="X145" s="3"/>
    </row>
    <row r="146" spans="2:24" x14ac:dyDescent="0.25">
      <c r="B146" s="3"/>
      <c r="C146" s="3"/>
      <c r="D146" s="3"/>
      <c r="E146" s="3"/>
      <c r="F146" s="3"/>
      <c r="G146" s="3"/>
      <c r="H146" s="3"/>
      <c r="I146" s="3"/>
      <c r="R146" s="3"/>
      <c r="W146" s="3"/>
      <c r="X146" s="3"/>
    </row>
    <row r="147" spans="2:24" x14ac:dyDescent="0.25">
      <c r="B147" s="3"/>
      <c r="C147" s="3"/>
      <c r="D147" s="3"/>
      <c r="E147" s="3"/>
      <c r="F147" s="3"/>
      <c r="G147" s="3"/>
      <c r="H147" s="3"/>
      <c r="I147" s="3"/>
      <c r="R147" s="3"/>
      <c r="W147" s="3"/>
      <c r="X147" s="3"/>
    </row>
    <row r="148" spans="2:24" x14ac:dyDescent="0.25">
      <c r="B148" s="3"/>
      <c r="C148" s="3"/>
      <c r="D148" s="3"/>
      <c r="E148" s="3"/>
      <c r="F148" s="3"/>
      <c r="G148" s="3"/>
      <c r="H148" s="3"/>
      <c r="I148" s="3"/>
      <c r="R148" s="3"/>
      <c r="W148" s="3"/>
      <c r="X148" s="3"/>
    </row>
    <row r="149" spans="2:24" x14ac:dyDescent="0.25">
      <c r="B149" s="3"/>
      <c r="C149" s="3"/>
      <c r="D149" s="3"/>
      <c r="E149" s="3"/>
      <c r="F149" s="3"/>
      <c r="G149" s="3"/>
      <c r="H149" s="3"/>
      <c r="I149" s="3"/>
      <c r="R149" s="3"/>
      <c r="W149" s="3"/>
      <c r="X149" s="3"/>
    </row>
    <row r="150" spans="2:24" x14ac:dyDescent="0.25">
      <c r="B150" s="3"/>
      <c r="C150" s="3"/>
      <c r="D150" s="3"/>
      <c r="E150" s="3"/>
      <c r="F150" s="3"/>
      <c r="G150" s="3"/>
      <c r="H150" s="3"/>
      <c r="I150" s="3"/>
      <c r="R150" s="3"/>
      <c r="W150" s="3"/>
      <c r="X150" s="3"/>
    </row>
    <row r="151" spans="2:24" x14ac:dyDescent="0.25">
      <c r="B151" s="3"/>
      <c r="C151" s="3"/>
      <c r="D151" s="3"/>
      <c r="E151" s="3"/>
      <c r="F151" s="3"/>
      <c r="G151" s="3"/>
      <c r="H151" s="3"/>
      <c r="I151" s="3"/>
      <c r="R151" s="3"/>
      <c r="W151" s="3"/>
      <c r="X151" s="3"/>
    </row>
    <row r="152" spans="2:24" x14ac:dyDescent="0.25">
      <c r="B152" s="3"/>
      <c r="C152" s="3"/>
      <c r="D152" s="3"/>
      <c r="E152" s="3"/>
      <c r="F152" s="3"/>
      <c r="G152" s="3"/>
      <c r="H152" s="3"/>
      <c r="I152" s="3"/>
      <c r="R152" s="3"/>
      <c r="W152" s="3"/>
      <c r="X152" s="3"/>
    </row>
    <row r="153" spans="2:24" x14ac:dyDescent="0.25">
      <c r="B153" s="3"/>
      <c r="C153" s="3"/>
      <c r="D153" s="3"/>
      <c r="E153" s="3"/>
      <c r="F153" s="3"/>
      <c r="G153" s="3"/>
      <c r="H153" s="3"/>
      <c r="I153" s="3"/>
      <c r="R153" s="3"/>
      <c r="W153" s="3"/>
      <c r="X153" s="3"/>
    </row>
    <row r="154" spans="2:24" x14ac:dyDescent="0.25">
      <c r="B154" s="3"/>
      <c r="C154" s="3"/>
      <c r="D154" s="3"/>
      <c r="E154" s="3"/>
      <c r="F154" s="3"/>
      <c r="G154" s="3"/>
      <c r="H154" s="3"/>
      <c r="I154" s="3"/>
      <c r="R154" s="3"/>
      <c r="W154" s="3"/>
      <c r="X154" s="3"/>
    </row>
    <row r="155" spans="2:24" x14ac:dyDescent="0.25">
      <c r="B155" s="3"/>
      <c r="C155" s="3"/>
      <c r="D155" s="3"/>
      <c r="E155" s="3"/>
      <c r="F155" s="3"/>
      <c r="G155" s="3"/>
      <c r="H155" s="3"/>
      <c r="I155" s="3"/>
      <c r="R155" s="3"/>
      <c r="W155" s="3"/>
      <c r="X155" s="3"/>
    </row>
    <row r="156" spans="2:24" x14ac:dyDescent="0.25">
      <c r="B156" s="3"/>
      <c r="C156" s="3"/>
      <c r="D156" s="3"/>
      <c r="E156" s="3"/>
      <c r="F156" s="3"/>
      <c r="G156" s="3"/>
      <c r="H156" s="3"/>
      <c r="I156" s="3"/>
      <c r="R156" s="3"/>
      <c r="W156" s="3"/>
      <c r="X156" s="3"/>
    </row>
    <row r="157" spans="2:24" x14ac:dyDescent="0.25">
      <c r="B157" s="3"/>
      <c r="C157" s="3"/>
      <c r="D157" s="3"/>
      <c r="E157" s="3"/>
      <c r="F157" s="3"/>
      <c r="G157" s="3"/>
      <c r="H157" s="3"/>
      <c r="I157" s="3"/>
      <c r="R157" s="3"/>
      <c r="W157" s="3"/>
      <c r="X157" s="3"/>
    </row>
    <row r="158" spans="2:24" x14ac:dyDescent="0.25">
      <c r="B158" s="3"/>
      <c r="C158" s="3"/>
      <c r="D158" s="3"/>
      <c r="E158" s="3"/>
      <c r="F158" s="3"/>
      <c r="G158" s="3"/>
      <c r="H158" s="3"/>
      <c r="I158" s="3"/>
      <c r="R158" s="3"/>
      <c r="W158" s="3"/>
      <c r="X158" s="3"/>
    </row>
    <row r="159" spans="2:24" x14ac:dyDescent="0.25">
      <c r="B159" s="3"/>
      <c r="C159" s="3"/>
      <c r="D159" s="3"/>
      <c r="E159" s="3"/>
      <c r="F159" s="3"/>
      <c r="G159" s="3"/>
      <c r="H159" s="3"/>
      <c r="I159" s="3"/>
      <c r="R159" s="3"/>
      <c r="W159" s="3"/>
      <c r="X159" s="3"/>
    </row>
    <row r="160" spans="2:24" x14ac:dyDescent="0.25">
      <c r="B160" s="3"/>
      <c r="C160" s="3"/>
      <c r="D160" s="3"/>
      <c r="E160" s="3"/>
      <c r="F160" s="3"/>
      <c r="G160" s="3"/>
      <c r="H160" s="3"/>
      <c r="I160" s="3"/>
      <c r="R160" s="3"/>
      <c r="W160" s="3"/>
      <c r="X160" s="3"/>
    </row>
    <row r="161" spans="2:24" x14ac:dyDescent="0.25">
      <c r="B161" s="3"/>
      <c r="C161" s="3"/>
      <c r="D161" s="3"/>
      <c r="E161" s="3"/>
      <c r="F161" s="3"/>
      <c r="G161" s="3"/>
      <c r="H161" s="3"/>
      <c r="I161" s="3"/>
      <c r="R161" s="3"/>
      <c r="W161" s="3"/>
      <c r="X161" s="3"/>
    </row>
    <row r="162" spans="2:24" x14ac:dyDescent="0.25">
      <c r="B162" s="3"/>
      <c r="C162" s="3"/>
      <c r="D162" s="3"/>
      <c r="E162" s="3"/>
      <c r="F162" s="3"/>
      <c r="G162" s="3"/>
      <c r="H162" s="3"/>
      <c r="I162" s="3"/>
      <c r="R162" s="3"/>
      <c r="W162" s="3"/>
      <c r="X162" s="3"/>
    </row>
    <row r="163" spans="2:24" x14ac:dyDescent="0.25">
      <c r="B163" s="3"/>
      <c r="C163" s="3"/>
      <c r="D163" s="3"/>
      <c r="E163" s="3"/>
      <c r="F163" s="3"/>
      <c r="G163" s="3"/>
      <c r="H163" s="3"/>
      <c r="I163" s="3"/>
      <c r="R163" s="3"/>
      <c r="W163" s="3"/>
      <c r="X163" s="3"/>
    </row>
    <row r="164" spans="2:24" x14ac:dyDescent="0.25">
      <c r="B164" s="3"/>
      <c r="C164" s="3"/>
      <c r="D164" s="3"/>
      <c r="E164" s="3"/>
      <c r="F164" s="3"/>
      <c r="G164" s="3"/>
      <c r="H164" s="3"/>
      <c r="I164" s="3"/>
      <c r="R164" s="3"/>
      <c r="W164" s="3"/>
      <c r="X164" s="3"/>
    </row>
    <row r="165" spans="2:24" x14ac:dyDescent="0.25">
      <c r="B165" s="3"/>
      <c r="C165" s="3"/>
      <c r="D165" s="3"/>
      <c r="E165" s="3"/>
      <c r="F165" s="3"/>
      <c r="G165" s="3"/>
      <c r="H165" s="3"/>
      <c r="I165" s="3"/>
      <c r="R165" s="3"/>
      <c r="W165" s="3"/>
      <c r="X165" s="3"/>
    </row>
    <row r="166" spans="2:24" x14ac:dyDescent="0.25">
      <c r="B166" s="3"/>
      <c r="C166" s="3"/>
      <c r="D166" s="3"/>
      <c r="E166" s="3"/>
      <c r="F166" s="3"/>
      <c r="G166" s="3"/>
      <c r="H166" s="3"/>
      <c r="I166" s="3"/>
      <c r="R166" s="3"/>
      <c r="W166" s="3"/>
      <c r="X166" s="3"/>
    </row>
    <row r="167" spans="2:24" x14ac:dyDescent="0.25">
      <c r="B167" s="3"/>
      <c r="C167" s="3"/>
      <c r="D167" s="3"/>
      <c r="E167" s="3"/>
      <c r="F167" s="3"/>
      <c r="G167" s="3"/>
      <c r="H167" s="3"/>
      <c r="I167" s="3"/>
      <c r="R167" s="3"/>
      <c r="W167" s="3"/>
      <c r="X167" s="3"/>
    </row>
    <row r="168" spans="2:24" x14ac:dyDescent="0.25">
      <c r="B168" s="3"/>
      <c r="C168" s="3"/>
      <c r="D168" s="3"/>
      <c r="E168" s="3"/>
      <c r="F168" s="3"/>
      <c r="G168" s="3"/>
      <c r="H168" s="3"/>
      <c r="I168" s="3"/>
      <c r="R168" s="3"/>
      <c r="W168" s="3"/>
      <c r="X168" s="3"/>
    </row>
    <row r="169" spans="2:24" x14ac:dyDescent="0.25">
      <c r="B169" s="3"/>
      <c r="C169" s="3"/>
      <c r="D169" s="3"/>
      <c r="E169" s="3"/>
      <c r="F169" s="3"/>
      <c r="G169" s="3"/>
      <c r="H169" s="3"/>
      <c r="I169" s="3"/>
      <c r="R169" s="3"/>
      <c r="W169" s="3"/>
      <c r="X169" s="3"/>
    </row>
    <row r="170" spans="2:24" x14ac:dyDescent="0.25">
      <c r="B170" s="3"/>
      <c r="C170" s="3"/>
      <c r="D170" s="3"/>
      <c r="E170" s="3"/>
      <c r="F170" s="3"/>
      <c r="G170" s="3"/>
      <c r="H170" s="3"/>
      <c r="I170" s="3"/>
      <c r="R170" s="3"/>
      <c r="W170" s="3"/>
      <c r="X170" s="3"/>
    </row>
    <row r="171" spans="2:24" x14ac:dyDescent="0.25">
      <c r="B171" s="3"/>
      <c r="C171" s="3"/>
      <c r="D171" s="3"/>
      <c r="E171" s="3"/>
      <c r="F171" s="3"/>
      <c r="G171" s="3"/>
      <c r="H171" s="3"/>
      <c r="I171" s="3"/>
      <c r="R171" s="3"/>
      <c r="W171" s="3"/>
      <c r="X171" s="3"/>
    </row>
    <row r="172" spans="2:24" x14ac:dyDescent="0.25">
      <c r="B172" s="3"/>
      <c r="C172" s="3"/>
      <c r="D172" s="3"/>
      <c r="E172" s="3"/>
      <c r="F172" s="3"/>
      <c r="G172" s="3"/>
      <c r="H172" s="3"/>
      <c r="I172" s="3"/>
      <c r="R172" s="3"/>
      <c r="W172" s="3"/>
      <c r="X172" s="3"/>
    </row>
    <row r="173" spans="2:24" x14ac:dyDescent="0.25">
      <c r="B173" s="3"/>
      <c r="C173" s="3"/>
      <c r="D173" s="3"/>
      <c r="E173" s="3"/>
      <c r="F173" s="3"/>
      <c r="G173" s="3"/>
      <c r="H173" s="3"/>
      <c r="I173" s="3"/>
      <c r="R173" s="3"/>
      <c r="W173" s="3"/>
      <c r="X173" s="3"/>
    </row>
    <row r="174" spans="2:24" x14ac:dyDescent="0.25">
      <c r="B174" s="3"/>
      <c r="C174" s="3"/>
      <c r="D174" s="3"/>
      <c r="E174" s="3"/>
      <c r="F174" s="3"/>
      <c r="G174" s="3"/>
      <c r="H174" s="3"/>
      <c r="I174" s="3"/>
      <c r="R174" s="3"/>
      <c r="W174" s="3"/>
      <c r="X174" s="3"/>
    </row>
    <row r="175" spans="2:24" x14ac:dyDescent="0.25">
      <c r="B175" s="3"/>
      <c r="C175" s="3"/>
      <c r="D175" s="3"/>
      <c r="E175" s="3"/>
      <c r="F175" s="3"/>
      <c r="G175" s="3"/>
      <c r="H175" s="3"/>
      <c r="I175" s="3"/>
      <c r="R175" s="3"/>
      <c r="W175" s="3"/>
      <c r="X175" s="3"/>
    </row>
    <row r="176" spans="2:24" x14ac:dyDescent="0.25">
      <c r="B176" s="3"/>
      <c r="C176" s="3"/>
      <c r="D176" s="3"/>
      <c r="E176" s="3"/>
      <c r="F176" s="3"/>
      <c r="G176" s="3"/>
      <c r="H176" s="3"/>
      <c r="I176" s="3"/>
      <c r="R176" s="3"/>
      <c r="W176" s="3"/>
      <c r="X176" s="3"/>
    </row>
    <row r="177" spans="2:24" x14ac:dyDescent="0.25">
      <c r="B177" s="3"/>
      <c r="C177" s="3"/>
      <c r="D177" s="3"/>
      <c r="E177" s="3"/>
      <c r="F177" s="3"/>
      <c r="G177" s="3"/>
      <c r="H177" s="3"/>
      <c r="I177" s="3"/>
      <c r="R177" s="3"/>
      <c r="W177" s="3"/>
      <c r="X177" s="3"/>
    </row>
    <row r="178" spans="2:24" x14ac:dyDescent="0.25">
      <c r="B178" s="3"/>
      <c r="C178" s="3"/>
      <c r="D178" s="3"/>
      <c r="E178" s="3"/>
      <c r="F178" s="3"/>
      <c r="G178" s="3"/>
      <c r="H178" s="3"/>
      <c r="I178" s="3"/>
      <c r="R178" s="3"/>
      <c r="W178" s="3"/>
      <c r="X178" s="3"/>
    </row>
    <row r="179" spans="2:24" x14ac:dyDescent="0.25">
      <c r="B179" s="3"/>
      <c r="C179" s="3"/>
      <c r="D179" s="3"/>
      <c r="E179" s="3"/>
      <c r="F179" s="3"/>
      <c r="G179" s="3"/>
      <c r="H179" s="3"/>
      <c r="I179" s="3"/>
      <c r="R179" s="3"/>
      <c r="W179" s="3"/>
      <c r="X179" s="3"/>
    </row>
    <row r="180" spans="2:24" x14ac:dyDescent="0.25">
      <c r="B180" s="3"/>
      <c r="C180" s="3"/>
      <c r="D180" s="3"/>
      <c r="E180" s="3"/>
      <c r="F180" s="3"/>
      <c r="G180" s="3"/>
      <c r="H180" s="3"/>
      <c r="I180" s="3"/>
      <c r="R180" s="3"/>
      <c r="W180" s="3"/>
      <c r="X180" s="3"/>
    </row>
    <row r="181" spans="2:24" x14ac:dyDescent="0.25">
      <c r="B181" s="3"/>
      <c r="C181" s="3"/>
      <c r="D181" s="3"/>
      <c r="E181" s="3"/>
      <c r="F181" s="3"/>
      <c r="G181" s="3"/>
      <c r="H181" s="3"/>
      <c r="I181" s="3"/>
      <c r="R181" s="3"/>
      <c r="W181" s="3"/>
      <c r="X181" s="3"/>
    </row>
    <row r="182" spans="2:24" x14ac:dyDescent="0.25">
      <c r="B182" s="3"/>
      <c r="C182" s="3"/>
      <c r="D182" s="3"/>
      <c r="E182" s="3"/>
      <c r="F182" s="3"/>
      <c r="G182" s="3"/>
      <c r="H182" s="3"/>
      <c r="I182" s="3"/>
      <c r="R182" s="3"/>
      <c r="W182" s="3"/>
      <c r="X182" s="3"/>
    </row>
    <row r="183" spans="2:24" x14ac:dyDescent="0.25">
      <c r="B183" s="3"/>
      <c r="C183" s="3"/>
      <c r="D183" s="3"/>
      <c r="E183" s="3"/>
      <c r="F183" s="3"/>
      <c r="G183" s="3"/>
      <c r="H183" s="3"/>
      <c r="I183" s="3"/>
      <c r="R183" s="3"/>
      <c r="W183" s="3"/>
      <c r="X183" s="3"/>
    </row>
    <row r="184" spans="2:24" x14ac:dyDescent="0.25">
      <c r="B184" s="3"/>
      <c r="C184" s="3"/>
      <c r="D184" s="3"/>
      <c r="E184" s="3"/>
      <c r="F184" s="3"/>
      <c r="G184" s="3"/>
      <c r="H184" s="3"/>
      <c r="I184" s="3"/>
      <c r="R184" s="3"/>
      <c r="W184" s="3"/>
      <c r="X184" s="3"/>
    </row>
    <row r="185" spans="2:24" x14ac:dyDescent="0.25">
      <c r="B185" s="3"/>
      <c r="C185" s="3"/>
      <c r="D185" s="3"/>
      <c r="E185" s="3"/>
      <c r="F185" s="3"/>
      <c r="G185" s="3"/>
      <c r="H185" s="3"/>
      <c r="I185" s="3"/>
      <c r="R185" s="3"/>
      <c r="W185" s="3"/>
      <c r="X185" s="3"/>
    </row>
    <row r="186" spans="2:24" x14ac:dyDescent="0.25">
      <c r="B186" s="3"/>
      <c r="C186" s="3"/>
      <c r="D186" s="3"/>
      <c r="E186" s="3"/>
      <c r="F186" s="3"/>
      <c r="G186" s="3"/>
      <c r="H186" s="3"/>
      <c r="I186" s="3"/>
      <c r="R186" s="3"/>
      <c r="W186" s="3"/>
      <c r="X186" s="3"/>
    </row>
    <row r="187" spans="2:24" x14ac:dyDescent="0.25">
      <c r="B187" s="3"/>
      <c r="C187" s="3"/>
      <c r="D187" s="3"/>
      <c r="E187" s="3"/>
      <c r="F187" s="3"/>
      <c r="G187" s="3"/>
      <c r="H187" s="3"/>
      <c r="I187" s="3"/>
      <c r="R187" s="3"/>
      <c r="W187" s="3"/>
      <c r="X187" s="3"/>
    </row>
    <row r="188" spans="2:24" x14ac:dyDescent="0.25">
      <c r="B188" s="3"/>
      <c r="C188" s="3"/>
      <c r="D188" s="3"/>
      <c r="E188" s="3"/>
      <c r="F188" s="3"/>
      <c r="G188" s="3"/>
      <c r="H188" s="3"/>
      <c r="I188" s="3"/>
      <c r="R188" s="3"/>
      <c r="W188" s="3"/>
      <c r="X188" s="3"/>
    </row>
    <row r="189" spans="2:24" x14ac:dyDescent="0.25">
      <c r="B189" s="3"/>
      <c r="C189" s="3"/>
      <c r="D189" s="3"/>
      <c r="E189" s="3"/>
      <c r="F189" s="3"/>
      <c r="G189" s="3"/>
      <c r="H189" s="3"/>
      <c r="I189" s="3"/>
      <c r="R189" s="3"/>
      <c r="W189" s="3"/>
      <c r="X189" s="3"/>
    </row>
    <row r="190" spans="2:24" x14ac:dyDescent="0.25">
      <c r="B190" s="3"/>
      <c r="C190" s="3"/>
      <c r="D190" s="3"/>
      <c r="E190" s="3"/>
      <c r="F190" s="3"/>
      <c r="G190" s="3"/>
      <c r="H190" s="3"/>
      <c r="I190" s="3"/>
      <c r="R190" s="3"/>
      <c r="W190" s="3"/>
      <c r="X190" s="3"/>
    </row>
    <row r="191" spans="2:24" x14ac:dyDescent="0.25">
      <c r="B191" s="3"/>
      <c r="C191" s="3"/>
      <c r="D191" s="3"/>
      <c r="E191" s="3"/>
      <c r="F191" s="3"/>
      <c r="G191" s="3"/>
      <c r="H191" s="3"/>
      <c r="I191" s="3"/>
      <c r="R191" s="3"/>
      <c r="W191" s="3"/>
      <c r="X191" s="3"/>
    </row>
    <row r="192" spans="2:24" x14ac:dyDescent="0.25">
      <c r="B192" s="3"/>
      <c r="C192" s="3"/>
      <c r="D192" s="3"/>
      <c r="E192" s="3"/>
      <c r="F192" s="3"/>
      <c r="G192" s="3"/>
      <c r="H192" s="3"/>
      <c r="I192" s="3"/>
      <c r="R192" s="3"/>
      <c r="W192" s="3"/>
      <c r="X192" s="3"/>
    </row>
    <row r="193" spans="2:24" x14ac:dyDescent="0.25">
      <c r="B193" s="3"/>
      <c r="C193" s="3"/>
      <c r="D193" s="3"/>
      <c r="E193" s="3"/>
      <c r="F193" s="3"/>
      <c r="G193" s="3"/>
      <c r="H193" s="3"/>
      <c r="I193" s="3"/>
      <c r="R193" s="3"/>
      <c r="W193" s="3"/>
      <c r="X193" s="3"/>
    </row>
    <row r="194" spans="2:24" x14ac:dyDescent="0.25">
      <c r="B194" s="3"/>
      <c r="C194" s="3"/>
      <c r="D194" s="3"/>
      <c r="E194" s="3"/>
      <c r="F194" s="3"/>
      <c r="G194" s="3"/>
      <c r="H194" s="3"/>
      <c r="I194" s="3"/>
      <c r="R194" s="3"/>
      <c r="W194" s="3"/>
      <c r="X194" s="3"/>
    </row>
    <row r="195" spans="2:24" x14ac:dyDescent="0.25">
      <c r="B195" s="3"/>
      <c r="C195" s="3"/>
      <c r="D195" s="3"/>
      <c r="E195" s="3"/>
      <c r="F195" s="3"/>
      <c r="G195" s="3"/>
      <c r="H195" s="3"/>
      <c r="I195" s="3"/>
      <c r="R195" s="3"/>
      <c r="W195" s="3"/>
      <c r="X195" s="3"/>
    </row>
    <row r="196" spans="2:24" x14ac:dyDescent="0.25">
      <c r="B196" s="3"/>
      <c r="C196" s="3"/>
      <c r="D196" s="3"/>
      <c r="E196" s="3"/>
      <c r="F196" s="3"/>
      <c r="G196" s="3"/>
      <c r="H196" s="3"/>
      <c r="I196" s="3"/>
      <c r="R196" s="3"/>
      <c r="W196" s="3"/>
      <c r="X196" s="3"/>
    </row>
    <row r="197" spans="2:24" x14ac:dyDescent="0.25">
      <c r="B197" s="3"/>
      <c r="C197" s="3"/>
      <c r="D197" s="3"/>
      <c r="E197" s="3"/>
      <c r="F197" s="3"/>
      <c r="G197" s="3"/>
      <c r="H197" s="3"/>
      <c r="I197" s="3"/>
      <c r="R197" s="3"/>
      <c r="W197" s="3"/>
      <c r="X197" s="3"/>
    </row>
    <row r="198" spans="2:24" x14ac:dyDescent="0.25">
      <c r="B198" s="3"/>
      <c r="C198" s="3"/>
      <c r="D198" s="3"/>
      <c r="E198" s="3"/>
      <c r="F198" s="3"/>
      <c r="G198" s="3"/>
      <c r="H198" s="3"/>
      <c r="I198" s="3"/>
      <c r="R198" s="3"/>
      <c r="W198" s="3"/>
      <c r="X198" s="3"/>
    </row>
    <row r="199" spans="2:24" x14ac:dyDescent="0.25">
      <c r="B199" s="3"/>
      <c r="C199" s="3"/>
      <c r="D199" s="3"/>
      <c r="E199" s="3"/>
      <c r="F199" s="3"/>
      <c r="G199" s="3"/>
      <c r="H199" s="3"/>
      <c r="I199" s="3"/>
      <c r="R199" s="3"/>
      <c r="W199" s="3"/>
      <c r="X199" s="3"/>
    </row>
    <row r="200" spans="2:24" x14ac:dyDescent="0.25">
      <c r="B200" s="3"/>
      <c r="C200" s="3"/>
      <c r="D200" s="3"/>
      <c r="E200" s="3"/>
      <c r="F200" s="3"/>
      <c r="G200" s="3"/>
      <c r="H200" s="3"/>
      <c r="I200" s="3"/>
      <c r="R200" s="3"/>
      <c r="W200" s="3"/>
      <c r="X200" s="3"/>
    </row>
    <row r="201" spans="2:24" x14ac:dyDescent="0.25">
      <c r="B201" s="3"/>
      <c r="C201" s="3"/>
      <c r="D201" s="3"/>
      <c r="E201" s="3"/>
      <c r="F201" s="3"/>
      <c r="G201" s="3"/>
      <c r="H201" s="3"/>
      <c r="I201" s="3"/>
      <c r="R201" s="3"/>
      <c r="W201" s="3"/>
      <c r="X201" s="3"/>
    </row>
    <row r="202" spans="2:24" x14ac:dyDescent="0.25">
      <c r="B202" s="3"/>
      <c r="C202" s="3"/>
      <c r="D202" s="3"/>
      <c r="E202" s="3"/>
      <c r="F202" s="3"/>
      <c r="G202" s="3"/>
      <c r="H202" s="3"/>
      <c r="I202" s="3"/>
      <c r="R202" s="3"/>
      <c r="W202" s="3"/>
      <c r="X202" s="3"/>
    </row>
    <row r="203" spans="2:24" x14ac:dyDescent="0.25">
      <c r="B203" s="3"/>
      <c r="C203" s="3"/>
      <c r="D203" s="3"/>
      <c r="E203" s="3"/>
      <c r="F203" s="3"/>
      <c r="G203" s="3"/>
      <c r="H203" s="3"/>
      <c r="I203" s="3"/>
      <c r="R203" s="3"/>
      <c r="W203" s="3"/>
      <c r="X203" s="3"/>
    </row>
    <row r="204" spans="2:24" x14ac:dyDescent="0.25">
      <c r="B204" s="3"/>
      <c r="C204" s="3"/>
      <c r="D204" s="3"/>
      <c r="E204" s="3"/>
      <c r="F204" s="3"/>
      <c r="G204" s="3"/>
      <c r="H204" s="3"/>
      <c r="I204" s="3"/>
      <c r="R204" s="3"/>
      <c r="W204" s="3"/>
      <c r="X204" s="3"/>
    </row>
    <row r="205" spans="2:24" x14ac:dyDescent="0.25">
      <c r="B205" s="3"/>
      <c r="C205" s="3"/>
      <c r="D205" s="3"/>
      <c r="E205" s="3"/>
      <c r="F205" s="3"/>
      <c r="G205" s="3"/>
      <c r="H205" s="3"/>
      <c r="I205" s="3"/>
      <c r="R205" s="3"/>
      <c r="W205" s="3"/>
      <c r="X205" s="3"/>
    </row>
    <row r="206" spans="2:24" x14ac:dyDescent="0.25">
      <c r="B206" s="3"/>
      <c r="C206" s="3"/>
      <c r="D206" s="3"/>
      <c r="E206" s="3"/>
      <c r="F206" s="3"/>
      <c r="G206" s="3"/>
      <c r="H206" s="3"/>
      <c r="I206" s="3"/>
      <c r="R206" s="3"/>
      <c r="W206" s="3"/>
      <c r="X206" s="3"/>
    </row>
    <row r="207" spans="2:24" x14ac:dyDescent="0.25">
      <c r="B207" s="3"/>
      <c r="C207" s="3"/>
      <c r="D207" s="3"/>
      <c r="E207" s="3"/>
      <c r="F207" s="3"/>
      <c r="G207" s="3"/>
      <c r="H207" s="3"/>
      <c r="I207" s="3"/>
      <c r="R207" s="3"/>
      <c r="W207" s="3"/>
      <c r="X207" s="3"/>
    </row>
    <row r="208" spans="2:24" x14ac:dyDescent="0.25">
      <c r="B208" s="3"/>
      <c r="C208" s="3"/>
      <c r="D208" s="3"/>
      <c r="E208" s="3"/>
      <c r="F208" s="3"/>
      <c r="G208" s="3"/>
      <c r="H208" s="3"/>
      <c r="I208" s="3"/>
      <c r="R208" s="3"/>
      <c r="W208" s="3"/>
      <c r="X208" s="3"/>
    </row>
    <row r="209" spans="2:24" x14ac:dyDescent="0.25">
      <c r="B209" s="3"/>
      <c r="C209" s="3"/>
      <c r="D209" s="3"/>
      <c r="E209" s="3"/>
      <c r="F209" s="3"/>
      <c r="G209" s="3"/>
      <c r="H209" s="3"/>
      <c r="I209" s="3"/>
      <c r="R209" s="3"/>
      <c r="W209" s="3"/>
      <c r="X209" s="3"/>
    </row>
    <row r="210" spans="2:24" x14ac:dyDescent="0.25">
      <c r="B210" s="3"/>
      <c r="C210" s="3"/>
      <c r="D210" s="3"/>
      <c r="E210" s="3"/>
      <c r="F210" s="3"/>
      <c r="G210" s="3"/>
      <c r="H210" s="3"/>
      <c r="I210" s="3"/>
      <c r="R210" s="3"/>
      <c r="W210" s="3"/>
      <c r="X210" s="3"/>
    </row>
    <row r="211" spans="2:24" x14ac:dyDescent="0.25">
      <c r="B211" s="3"/>
      <c r="C211" s="3"/>
      <c r="D211" s="3"/>
      <c r="E211" s="3"/>
      <c r="F211" s="3"/>
      <c r="G211" s="3"/>
      <c r="H211" s="3"/>
      <c r="I211" s="3"/>
      <c r="R211" s="3"/>
      <c r="W211" s="3"/>
      <c r="X211" s="3"/>
    </row>
    <row r="212" spans="2:24" x14ac:dyDescent="0.25">
      <c r="B212" s="3"/>
      <c r="C212" s="3"/>
      <c r="D212" s="3"/>
      <c r="E212" s="3"/>
      <c r="F212" s="3"/>
      <c r="G212" s="3"/>
      <c r="H212" s="3"/>
      <c r="I212" s="3"/>
      <c r="R212" s="3"/>
      <c r="W212" s="3"/>
      <c r="X212" s="3"/>
    </row>
    <row r="213" spans="2:24" x14ac:dyDescent="0.25">
      <c r="B213" s="3"/>
      <c r="C213" s="3"/>
      <c r="D213" s="3"/>
      <c r="E213" s="3"/>
      <c r="F213" s="3"/>
      <c r="G213" s="3"/>
      <c r="H213" s="3"/>
      <c r="I213" s="3"/>
      <c r="R213" s="3"/>
      <c r="W213" s="3"/>
      <c r="X213" s="3"/>
    </row>
    <row r="214" spans="2:24" x14ac:dyDescent="0.25">
      <c r="B214" s="3"/>
      <c r="C214" s="3"/>
      <c r="D214" s="3"/>
      <c r="E214" s="3"/>
      <c r="F214" s="3"/>
      <c r="G214" s="3"/>
      <c r="H214" s="3"/>
      <c r="I214" s="3"/>
      <c r="R214" s="3"/>
      <c r="W214" s="3"/>
      <c r="X214" s="3"/>
    </row>
    <row r="215" spans="2:24" x14ac:dyDescent="0.25">
      <c r="B215" s="3"/>
      <c r="C215" s="3"/>
      <c r="D215" s="3"/>
      <c r="E215" s="3"/>
      <c r="F215" s="3"/>
      <c r="G215" s="3"/>
      <c r="H215" s="3"/>
      <c r="I215" s="3"/>
      <c r="R215" s="3"/>
      <c r="W215" s="3"/>
      <c r="X215" s="3"/>
    </row>
    <row r="216" spans="2:24" x14ac:dyDescent="0.25">
      <c r="B216" s="3"/>
      <c r="C216" s="3"/>
      <c r="D216" s="3"/>
      <c r="E216" s="3"/>
      <c r="F216" s="3"/>
      <c r="G216" s="3"/>
      <c r="H216" s="3"/>
      <c r="I216" s="3"/>
      <c r="R216" s="3"/>
      <c r="W216" s="3"/>
      <c r="X216" s="3"/>
    </row>
    <row r="217" spans="2:24" x14ac:dyDescent="0.25">
      <c r="B217" s="3"/>
      <c r="C217" s="3"/>
      <c r="D217" s="3"/>
      <c r="E217" s="3"/>
      <c r="F217" s="3"/>
      <c r="G217" s="3"/>
      <c r="H217" s="3"/>
      <c r="I217" s="3"/>
      <c r="R217" s="3"/>
      <c r="W217" s="3"/>
      <c r="X217" s="3"/>
    </row>
    <row r="218" spans="2:24" x14ac:dyDescent="0.25">
      <c r="B218" s="3"/>
      <c r="C218" s="3"/>
      <c r="D218" s="3"/>
      <c r="E218" s="3"/>
      <c r="F218" s="3"/>
      <c r="G218" s="3"/>
      <c r="H218" s="3"/>
      <c r="I218" s="3"/>
      <c r="R218" s="3"/>
      <c r="W218" s="3"/>
      <c r="X218" s="3"/>
    </row>
    <row r="219" spans="2:24" x14ac:dyDescent="0.25">
      <c r="B219" s="3"/>
      <c r="C219" s="3"/>
      <c r="D219" s="3"/>
      <c r="E219" s="3"/>
      <c r="F219" s="3"/>
      <c r="G219" s="3"/>
      <c r="H219" s="3"/>
      <c r="I219" s="3"/>
      <c r="R219" s="3"/>
      <c r="W219" s="3"/>
      <c r="X219" s="3"/>
    </row>
    <row r="220" spans="2:24" x14ac:dyDescent="0.25">
      <c r="B220" s="3"/>
      <c r="C220" s="3"/>
      <c r="D220" s="3"/>
      <c r="E220" s="3"/>
      <c r="F220" s="3"/>
      <c r="G220" s="3"/>
      <c r="H220" s="3"/>
      <c r="I220" s="3"/>
      <c r="R220" s="3"/>
      <c r="W220" s="3"/>
      <c r="X220" s="3"/>
    </row>
    <row r="221" spans="2:24" x14ac:dyDescent="0.25">
      <c r="B221" s="3"/>
      <c r="C221" s="3"/>
      <c r="D221" s="3"/>
      <c r="E221" s="3"/>
      <c r="F221" s="3"/>
      <c r="G221" s="3"/>
      <c r="H221" s="3"/>
      <c r="I221" s="3"/>
      <c r="R221" s="3"/>
      <c r="W221" s="3"/>
      <c r="X221" s="3"/>
    </row>
    <row r="222" spans="2:24" x14ac:dyDescent="0.25">
      <c r="B222" s="3"/>
      <c r="C222" s="3"/>
      <c r="D222" s="3"/>
      <c r="E222" s="3"/>
      <c r="F222" s="3"/>
      <c r="G222" s="3"/>
      <c r="H222" s="3"/>
      <c r="I222" s="3"/>
      <c r="R222" s="3"/>
      <c r="W222" s="3"/>
      <c r="X222" s="3"/>
    </row>
    <row r="223" spans="2:24" x14ac:dyDescent="0.25">
      <c r="B223" s="3"/>
      <c r="C223" s="3"/>
      <c r="D223" s="3"/>
      <c r="E223" s="3"/>
      <c r="F223" s="3"/>
      <c r="G223" s="3"/>
      <c r="H223" s="3"/>
      <c r="I223" s="3"/>
      <c r="R223" s="3"/>
      <c r="W223" s="3"/>
      <c r="X223" s="3"/>
    </row>
    <row r="224" spans="2:24" x14ac:dyDescent="0.25">
      <c r="B224" s="3"/>
      <c r="C224" s="3"/>
      <c r="D224" s="3"/>
      <c r="E224" s="3"/>
      <c r="F224" s="3"/>
      <c r="G224" s="3"/>
      <c r="H224" s="3"/>
      <c r="I224" s="3"/>
      <c r="R224" s="3"/>
      <c r="W224" s="3"/>
      <c r="X224" s="3"/>
    </row>
    <row r="225" spans="2:24" x14ac:dyDescent="0.25">
      <c r="B225" s="3"/>
      <c r="C225" s="3"/>
      <c r="D225" s="3"/>
      <c r="E225" s="3"/>
      <c r="F225" s="3"/>
      <c r="G225" s="3"/>
      <c r="H225" s="3"/>
      <c r="I225" s="3"/>
      <c r="R225" s="3"/>
      <c r="W225" s="3"/>
      <c r="X225" s="3"/>
    </row>
    <row r="226" spans="2:24" x14ac:dyDescent="0.25">
      <c r="B226" s="3"/>
      <c r="C226" s="3"/>
      <c r="D226" s="3"/>
      <c r="E226" s="3"/>
      <c r="F226" s="3"/>
      <c r="G226" s="3"/>
      <c r="H226" s="3"/>
      <c r="I226" s="3"/>
      <c r="R226" s="3"/>
      <c r="W226" s="3"/>
      <c r="X226" s="3"/>
    </row>
    <row r="227" spans="2:24" x14ac:dyDescent="0.25">
      <c r="B227" s="3"/>
      <c r="C227" s="3"/>
      <c r="D227" s="3"/>
      <c r="E227" s="3"/>
      <c r="F227" s="3"/>
      <c r="G227" s="3"/>
      <c r="H227" s="3"/>
      <c r="I227" s="3"/>
      <c r="R227" s="3"/>
      <c r="W227" s="3"/>
      <c r="X227" s="3"/>
    </row>
    <row r="228" spans="2:24" x14ac:dyDescent="0.25">
      <c r="B228" s="3"/>
      <c r="C228" s="3"/>
      <c r="D228" s="3"/>
      <c r="E228" s="3"/>
      <c r="F228" s="3"/>
      <c r="G228" s="3"/>
      <c r="H228" s="3"/>
      <c r="I228" s="3"/>
      <c r="R228" s="3"/>
      <c r="W228" s="3"/>
      <c r="X228" s="3"/>
    </row>
    <row r="229" spans="2:24" x14ac:dyDescent="0.25">
      <c r="B229" s="3"/>
      <c r="C229" s="3"/>
      <c r="D229" s="3"/>
      <c r="E229" s="3"/>
      <c r="F229" s="3"/>
      <c r="G229" s="3"/>
      <c r="H229" s="3"/>
      <c r="I229" s="3"/>
      <c r="R229" s="3"/>
      <c r="W229" s="3"/>
      <c r="X229" s="3"/>
    </row>
    <row r="230" spans="2:24" x14ac:dyDescent="0.25">
      <c r="B230" s="3"/>
      <c r="C230" s="3"/>
      <c r="D230" s="3"/>
      <c r="E230" s="3"/>
      <c r="F230" s="3"/>
      <c r="G230" s="3"/>
      <c r="H230" s="3"/>
      <c r="I230" s="3"/>
      <c r="R230" s="3"/>
      <c r="W230" s="3"/>
      <c r="X230" s="3"/>
    </row>
    <row r="231" spans="2:24" x14ac:dyDescent="0.25">
      <c r="B231" s="3"/>
      <c r="C231" s="3"/>
      <c r="D231" s="3"/>
      <c r="E231" s="3"/>
      <c r="F231" s="3"/>
      <c r="G231" s="3"/>
      <c r="H231" s="3"/>
      <c r="I231" s="3"/>
      <c r="R231" s="3"/>
      <c r="W231" s="3"/>
      <c r="X231" s="3"/>
    </row>
    <row r="232" spans="2:24" x14ac:dyDescent="0.25">
      <c r="B232" s="3"/>
      <c r="C232" s="3"/>
      <c r="D232" s="3"/>
      <c r="E232" s="3"/>
      <c r="F232" s="3"/>
      <c r="G232" s="3"/>
      <c r="H232" s="3"/>
      <c r="I232" s="3"/>
      <c r="R232" s="3"/>
      <c r="W232" s="3"/>
      <c r="X232" s="3"/>
    </row>
    <row r="233" spans="2:24" x14ac:dyDescent="0.25">
      <c r="B233" s="3"/>
      <c r="C233" s="3"/>
      <c r="D233" s="3"/>
      <c r="E233" s="3"/>
      <c r="F233" s="3"/>
      <c r="G233" s="3"/>
      <c r="H233" s="3"/>
      <c r="I233" s="3"/>
      <c r="R233" s="3"/>
      <c r="W233" s="3"/>
      <c r="X233" s="3"/>
    </row>
    <row r="234" spans="2:24" x14ac:dyDescent="0.25">
      <c r="B234" s="3"/>
      <c r="C234" s="3"/>
      <c r="D234" s="3"/>
      <c r="E234" s="3"/>
      <c r="F234" s="3"/>
      <c r="G234" s="3"/>
      <c r="H234" s="3"/>
      <c r="I234" s="3"/>
      <c r="R234" s="3"/>
      <c r="W234" s="3"/>
      <c r="X234" s="3"/>
    </row>
    <row r="235" spans="2:24" x14ac:dyDescent="0.25">
      <c r="B235" s="3"/>
      <c r="C235" s="3"/>
      <c r="D235" s="3"/>
      <c r="E235" s="3"/>
      <c r="F235" s="3"/>
      <c r="G235" s="3"/>
      <c r="H235" s="3"/>
      <c r="I235" s="3"/>
      <c r="R235" s="3"/>
      <c r="W235" s="3"/>
      <c r="X235" s="3"/>
    </row>
    <row r="236" spans="2:24" x14ac:dyDescent="0.25">
      <c r="B236" s="3"/>
      <c r="C236" s="3"/>
      <c r="D236" s="3"/>
      <c r="E236" s="3"/>
      <c r="F236" s="3"/>
      <c r="G236" s="3"/>
      <c r="H236" s="3"/>
      <c r="I236" s="3"/>
      <c r="R236" s="3"/>
      <c r="W236" s="3"/>
      <c r="X236" s="3"/>
    </row>
    <row r="237" spans="2:24" x14ac:dyDescent="0.25">
      <c r="B237" s="3"/>
      <c r="C237" s="3"/>
      <c r="D237" s="3"/>
      <c r="E237" s="3"/>
      <c r="F237" s="3"/>
      <c r="G237" s="3"/>
      <c r="H237" s="3"/>
      <c r="I237" s="3"/>
      <c r="R237" s="3"/>
      <c r="W237" s="3"/>
      <c r="X237" s="3"/>
    </row>
    <row r="238" spans="2:24" x14ac:dyDescent="0.25">
      <c r="B238" s="3"/>
      <c r="C238" s="3"/>
      <c r="D238" s="3"/>
      <c r="E238" s="3"/>
      <c r="F238" s="3"/>
      <c r="G238" s="3"/>
      <c r="H238" s="3"/>
      <c r="I238" s="3"/>
      <c r="R238" s="3"/>
      <c r="W238" s="3"/>
      <c r="X238" s="3"/>
    </row>
    <row r="239" spans="2:24" x14ac:dyDescent="0.25">
      <c r="B239" s="3"/>
      <c r="C239" s="3"/>
      <c r="D239" s="3"/>
      <c r="E239" s="3"/>
      <c r="F239" s="3"/>
      <c r="G239" s="3"/>
      <c r="H239" s="3"/>
      <c r="I239" s="3"/>
      <c r="R239" s="3"/>
      <c r="W239" s="3"/>
      <c r="X239" s="3"/>
    </row>
    <row r="240" spans="2:24" x14ac:dyDescent="0.25">
      <c r="B240" s="3"/>
      <c r="C240" s="3"/>
      <c r="D240" s="3"/>
      <c r="E240" s="3"/>
      <c r="F240" s="3"/>
      <c r="G240" s="3"/>
      <c r="H240" s="3"/>
      <c r="I240" s="3"/>
      <c r="R240" s="3"/>
      <c r="W240" s="3"/>
      <c r="X240" s="3"/>
    </row>
    <row r="241" spans="2:24" x14ac:dyDescent="0.25">
      <c r="B241" s="3"/>
      <c r="C241" s="3"/>
      <c r="D241" s="3"/>
      <c r="E241" s="3"/>
      <c r="F241" s="3"/>
      <c r="G241" s="3"/>
      <c r="H241" s="3"/>
      <c r="I241" s="3"/>
      <c r="R241" s="3"/>
      <c r="W241" s="3"/>
      <c r="X241" s="3"/>
    </row>
    <row r="242" spans="2:24" x14ac:dyDescent="0.25">
      <c r="B242" s="3"/>
      <c r="C242" s="3"/>
      <c r="D242" s="3"/>
      <c r="E242" s="3"/>
      <c r="F242" s="3"/>
      <c r="G242" s="3"/>
      <c r="H242" s="3"/>
      <c r="I242" s="3"/>
      <c r="R242" s="3"/>
      <c r="W242" s="3"/>
      <c r="X242" s="3"/>
    </row>
    <row r="243" spans="2:24" x14ac:dyDescent="0.25">
      <c r="B243" s="3"/>
      <c r="C243" s="3"/>
      <c r="D243" s="3"/>
      <c r="E243" s="3"/>
      <c r="F243" s="3"/>
      <c r="G243" s="3"/>
      <c r="H243" s="3"/>
      <c r="I243" s="3"/>
      <c r="R243" s="3"/>
      <c r="W243" s="3"/>
      <c r="X243" s="3"/>
    </row>
    <row r="244" spans="2:24" x14ac:dyDescent="0.25">
      <c r="B244" s="3"/>
      <c r="C244" s="3"/>
      <c r="D244" s="3"/>
      <c r="E244" s="3"/>
      <c r="F244" s="3"/>
      <c r="G244" s="3"/>
      <c r="H244" s="3"/>
      <c r="I244" s="3"/>
      <c r="R244" s="3"/>
      <c r="W244" s="3"/>
      <c r="X244" s="3"/>
    </row>
    <row r="245" spans="2:24" x14ac:dyDescent="0.25">
      <c r="B245" s="3"/>
      <c r="C245" s="3"/>
      <c r="D245" s="3"/>
      <c r="E245" s="3"/>
      <c r="F245" s="3"/>
      <c r="G245" s="3"/>
      <c r="H245" s="3"/>
      <c r="I245" s="3"/>
      <c r="R245" s="3"/>
      <c r="W245" s="3"/>
      <c r="X245" s="3"/>
    </row>
    <row r="246" spans="2:24" x14ac:dyDescent="0.25">
      <c r="B246" s="3"/>
      <c r="C246" s="3"/>
      <c r="D246" s="3"/>
      <c r="E246" s="3"/>
      <c r="F246" s="3"/>
      <c r="G246" s="3"/>
      <c r="H246" s="3"/>
      <c r="I246" s="3"/>
      <c r="R246" s="3"/>
      <c r="W246" s="3"/>
      <c r="X246" s="3"/>
    </row>
    <row r="247" spans="2:24" x14ac:dyDescent="0.25">
      <c r="B247" s="3"/>
      <c r="C247" s="3"/>
      <c r="D247" s="3"/>
      <c r="E247" s="3"/>
      <c r="F247" s="3"/>
      <c r="G247" s="3"/>
      <c r="H247" s="3"/>
      <c r="I247" s="3"/>
      <c r="R247" s="3"/>
      <c r="W247" s="3"/>
      <c r="X247" s="3"/>
    </row>
    <row r="248" spans="2:24" x14ac:dyDescent="0.25">
      <c r="B248" s="3"/>
      <c r="C248" s="3"/>
      <c r="D248" s="3"/>
      <c r="E248" s="3"/>
      <c r="F248" s="3"/>
      <c r="G248" s="3"/>
      <c r="H248" s="3"/>
      <c r="I248" s="3"/>
      <c r="R248" s="3"/>
      <c r="W248" s="3"/>
      <c r="X248" s="3"/>
    </row>
    <row r="249" spans="2:24" x14ac:dyDescent="0.25">
      <c r="B249" s="3"/>
      <c r="C249" s="3"/>
      <c r="D249" s="3"/>
      <c r="E249" s="3"/>
      <c r="F249" s="3"/>
      <c r="G249" s="3"/>
      <c r="H249" s="3"/>
      <c r="I249" s="3"/>
      <c r="R249" s="3"/>
      <c r="W249" s="3"/>
      <c r="X249" s="3"/>
    </row>
    <row r="250" spans="2:24" x14ac:dyDescent="0.25">
      <c r="B250" s="3"/>
      <c r="C250" s="3"/>
      <c r="D250" s="3"/>
      <c r="E250" s="3"/>
      <c r="F250" s="3"/>
      <c r="G250" s="3"/>
      <c r="H250" s="3"/>
      <c r="I250" s="3"/>
      <c r="R250" s="3"/>
      <c r="W250" s="3"/>
      <c r="X250" s="3"/>
    </row>
    <row r="251" spans="2:24" x14ac:dyDescent="0.25">
      <c r="B251" s="3"/>
      <c r="C251" s="3"/>
      <c r="D251" s="3"/>
      <c r="E251" s="3"/>
      <c r="F251" s="3"/>
      <c r="G251" s="3"/>
      <c r="H251" s="3"/>
      <c r="I251" s="3"/>
      <c r="R251" s="3"/>
      <c r="W251" s="3"/>
      <c r="X251" s="3"/>
    </row>
    <row r="252" spans="2:24" x14ac:dyDescent="0.25">
      <c r="B252" s="3"/>
      <c r="C252" s="3"/>
      <c r="D252" s="3"/>
      <c r="E252" s="3"/>
      <c r="F252" s="3"/>
      <c r="G252" s="3"/>
      <c r="H252" s="3"/>
      <c r="I252" s="3"/>
      <c r="R252" s="3"/>
      <c r="W252" s="3"/>
      <c r="X252" s="3"/>
    </row>
    <row r="253" spans="2:24" x14ac:dyDescent="0.25">
      <c r="B253" s="3"/>
      <c r="C253" s="3"/>
      <c r="D253" s="3"/>
      <c r="E253" s="3"/>
      <c r="F253" s="3"/>
      <c r="G253" s="3"/>
      <c r="H253" s="3"/>
      <c r="I253" s="3"/>
      <c r="R253" s="3"/>
      <c r="W253" s="3"/>
      <c r="X253" s="3"/>
    </row>
    <row r="254" spans="2:24" x14ac:dyDescent="0.25">
      <c r="B254" s="3"/>
      <c r="C254" s="3"/>
      <c r="D254" s="3"/>
      <c r="E254" s="3"/>
      <c r="F254" s="3"/>
      <c r="G254" s="3"/>
      <c r="H254" s="3"/>
      <c r="I254" s="3"/>
      <c r="R254" s="3"/>
      <c r="W254" s="3"/>
      <c r="X254" s="3"/>
    </row>
    <row r="255" spans="2:24" x14ac:dyDescent="0.25">
      <c r="B255" s="3"/>
      <c r="C255" s="3"/>
      <c r="D255" s="3"/>
      <c r="E255" s="3"/>
      <c r="F255" s="3"/>
      <c r="G255" s="3"/>
      <c r="H255" s="3"/>
      <c r="I255" s="3"/>
      <c r="R255" s="3"/>
      <c r="W255" s="3"/>
      <c r="X255" s="3"/>
    </row>
    <row r="256" spans="2:24" x14ac:dyDescent="0.25">
      <c r="B256" s="3"/>
      <c r="C256" s="3"/>
      <c r="D256" s="3"/>
      <c r="E256" s="3"/>
      <c r="F256" s="3"/>
      <c r="G256" s="3"/>
      <c r="H256" s="3"/>
      <c r="I256" s="3"/>
      <c r="R256" s="3"/>
      <c r="W256" s="3"/>
      <c r="X256" s="3"/>
    </row>
    <row r="257" spans="2:24" x14ac:dyDescent="0.25">
      <c r="B257" s="3"/>
      <c r="C257" s="3"/>
      <c r="D257" s="3"/>
      <c r="E257" s="3"/>
      <c r="F257" s="3"/>
      <c r="G257" s="3"/>
      <c r="H257" s="3"/>
      <c r="I257" s="3"/>
      <c r="R257" s="3"/>
      <c r="W257" s="3"/>
      <c r="X257" s="3"/>
    </row>
    <row r="258" spans="2:24" x14ac:dyDescent="0.25">
      <c r="B258" s="3"/>
      <c r="C258" s="3"/>
      <c r="D258" s="3"/>
      <c r="E258" s="3"/>
      <c r="F258" s="3"/>
      <c r="G258" s="3"/>
      <c r="H258" s="3"/>
      <c r="I258" s="3"/>
      <c r="R258" s="3"/>
      <c r="W258" s="3"/>
      <c r="X258" s="3"/>
    </row>
    <row r="259" spans="2:24" x14ac:dyDescent="0.25">
      <c r="B259" s="3"/>
      <c r="C259" s="3"/>
      <c r="D259" s="3"/>
      <c r="E259" s="3"/>
      <c r="F259" s="3"/>
      <c r="G259" s="3"/>
      <c r="H259" s="3"/>
      <c r="I259" s="3"/>
      <c r="R259" s="3"/>
      <c r="W259" s="3"/>
      <c r="X259" s="3"/>
    </row>
    <row r="260" spans="2:24" x14ac:dyDescent="0.25">
      <c r="B260" s="3"/>
      <c r="C260" s="3"/>
      <c r="D260" s="3"/>
      <c r="E260" s="3"/>
      <c r="F260" s="3"/>
      <c r="G260" s="3"/>
      <c r="H260" s="3"/>
      <c r="I260" s="3"/>
      <c r="R260" s="3"/>
      <c r="W260" s="3"/>
      <c r="X260" s="3"/>
    </row>
    <row r="261" spans="2:24" x14ac:dyDescent="0.25">
      <c r="B261" s="3"/>
      <c r="C261" s="3"/>
      <c r="D261" s="3"/>
      <c r="E261" s="3"/>
      <c r="F261" s="3"/>
      <c r="G261" s="3"/>
      <c r="H261" s="3"/>
      <c r="I261" s="3"/>
      <c r="R261" s="3"/>
      <c r="W261" s="3"/>
      <c r="X261" s="3"/>
    </row>
    <row r="262" spans="2:24" x14ac:dyDescent="0.25">
      <c r="B262" s="3"/>
      <c r="C262" s="3"/>
      <c r="D262" s="3"/>
      <c r="E262" s="3"/>
      <c r="F262" s="3"/>
      <c r="G262" s="3"/>
      <c r="H262" s="3"/>
      <c r="I262" s="3"/>
      <c r="R262" s="3"/>
      <c r="W262" s="3"/>
      <c r="X262" s="3"/>
    </row>
    <row r="263" spans="2:24" x14ac:dyDescent="0.25">
      <c r="B263" s="3"/>
      <c r="C263" s="3"/>
      <c r="D263" s="3"/>
      <c r="E263" s="3"/>
      <c r="F263" s="3"/>
      <c r="G263" s="3"/>
      <c r="H263" s="3"/>
      <c r="I263" s="3"/>
      <c r="R263" s="3"/>
      <c r="W263" s="3"/>
      <c r="X263" s="3"/>
    </row>
    <row r="264" spans="2:24" x14ac:dyDescent="0.25">
      <c r="B264" s="3"/>
      <c r="C264" s="3"/>
      <c r="D264" s="3"/>
      <c r="E264" s="3"/>
      <c r="F264" s="3"/>
      <c r="G264" s="3"/>
      <c r="H264" s="3"/>
      <c r="I264" s="3"/>
      <c r="R264" s="3"/>
      <c r="W264" s="3"/>
      <c r="X264" s="3"/>
    </row>
    <row r="265" spans="2:24" x14ac:dyDescent="0.25">
      <c r="B265" s="3"/>
      <c r="C265" s="3"/>
      <c r="D265" s="3"/>
      <c r="E265" s="3"/>
      <c r="F265" s="3"/>
      <c r="G265" s="3"/>
      <c r="H265" s="3"/>
      <c r="I265" s="3"/>
      <c r="R265" s="3"/>
      <c r="W265" s="3"/>
      <c r="X265" s="3"/>
    </row>
    <row r="266" spans="2:24" x14ac:dyDescent="0.25">
      <c r="B266" s="3"/>
      <c r="C266" s="3"/>
      <c r="D266" s="3"/>
      <c r="E266" s="3"/>
      <c r="F266" s="3"/>
      <c r="G266" s="3"/>
      <c r="H266" s="3"/>
      <c r="I266" s="3"/>
      <c r="R266" s="3"/>
      <c r="W266" s="3"/>
      <c r="X266" s="3"/>
    </row>
    <row r="267" spans="2:24" x14ac:dyDescent="0.25">
      <c r="B267" s="3"/>
      <c r="C267" s="3"/>
      <c r="D267" s="3"/>
      <c r="E267" s="3"/>
      <c r="F267" s="3"/>
      <c r="G267" s="3"/>
      <c r="H267" s="3"/>
      <c r="I267" s="3"/>
      <c r="R267" s="3"/>
      <c r="W267" s="3"/>
      <c r="X267" s="3"/>
    </row>
    <row r="268" spans="2:24" x14ac:dyDescent="0.25">
      <c r="B268" s="3"/>
      <c r="C268" s="3"/>
      <c r="D268" s="3"/>
      <c r="E268" s="3"/>
      <c r="F268" s="3"/>
      <c r="G268" s="3"/>
      <c r="H268" s="3"/>
      <c r="I268" s="3"/>
      <c r="R268" s="3"/>
      <c r="W268" s="3"/>
      <c r="X268" s="3"/>
    </row>
    <row r="269" spans="2:24" x14ac:dyDescent="0.25">
      <c r="B269" s="3"/>
      <c r="C269" s="3"/>
      <c r="D269" s="3"/>
      <c r="E269" s="3"/>
      <c r="F269" s="3"/>
      <c r="G269" s="3"/>
      <c r="H269" s="3"/>
      <c r="I269" s="3"/>
      <c r="R269" s="3"/>
      <c r="W269" s="3"/>
      <c r="X269" s="3"/>
    </row>
    <row r="270" spans="2:24" x14ac:dyDescent="0.25">
      <c r="B270" s="3"/>
      <c r="C270" s="3"/>
      <c r="D270" s="3"/>
      <c r="E270" s="3"/>
      <c r="F270" s="3"/>
      <c r="G270" s="3"/>
      <c r="H270" s="3"/>
      <c r="I270" s="3"/>
      <c r="R270" s="3"/>
      <c r="W270" s="3"/>
      <c r="X270" s="3"/>
    </row>
    <row r="271" spans="2:24" x14ac:dyDescent="0.25">
      <c r="B271" s="3"/>
      <c r="C271" s="3"/>
      <c r="D271" s="3"/>
      <c r="E271" s="3"/>
      <c r="F271" s="3"/>
      <c r="G271" s="3"/>
      <c r="H271" s="3"/>
      <c r="I271" s="3"/>
      <c r="R271" s="3"/>
      <c r="W271" s="3"/>
      <c r="X271" s="3"/>
    </row>
    <row r="272" spans="2:24" x14ac:dyDescent="0.25">
      <c r="B272" s="3"/>
      <c r="C272" s="3"/>
      <c r="D272" s="3"/>
      <c r="E272" s="3"/>
      <c r="F272" s="3"/>
      <c r="G272" s="3"/>
      <c r="H272" s="3"/>
      <c r="I272" s="3"/>
      <c r="R272" s="3"/>
      <c r="W272" s="3"/>
      <c r="X272" s="3"/>
    </row>
    <row r="273" spans="2:24" x14ac:dyDescent="0.25">
      <c r="B273" s="3"/>
      <c r="C273" s="3"/>
      <c r="D273" s="3"/>
      <c r="E273" s="3"/>
      <c r="F273" s="3"/>
      <c r="G273" s="3"/>
      <c r="H273" s="3"/>
      <c r="I273" s="3"/>
      <c r="R273" s="3"/>
      <c r="W273" s="3"/>
      <c r="X273" s="3"/>
    </row>
    <row r="274" spans="2:24" x14ac:dyDescent="0.25">
      <c r="B274" s="3"/>
      <c r="C274" s="3"/>
      <c r="D274" s="3"/>
      <c r="E274" s="3"/>
      <c r="F274" s="3"/>
      <c r="G274" s="3"/>
      <c r="H274" s="3"/>
      <c r="I274" s="3"/>
      <c r="R274" s="3"/>
      <c r="W274" s="3"/>
      <c r="X274" s="3"/>
    </row>
    <row r="275" spans="2:24" x14ac:dyDescent="0.25">
      <c r="B275" s="3"/>
      <c r="C275" s="3"/>
      <c r="D275" s="3"/>
      <c r="E275" s="3"/>
      <c r="F275" s="3"/>
      <c r="G275" s="3"/>
      <c r="H275" s="3"/>
      <c r="I275" s="3"/>
      <c r="R275" s="3"/>
      <c r="W275" s="3"/>
      <c r="X275" s="3"/>
    </row>
  </sheetData>
  <autoFilter ref="B2:AB111" xr:uid="{CEC30D02-992A-44A1-94C9-93E10950C3D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235A-58F0-426C-B8FE-A0DEAECA65E4}">
  <dimension ref="A1:AC127"/>
  <sheetViews>
    <sheetView showGridLines="0" workbookViewId="0">
      <pane xSplit="2" ySplit="1" topLeftCell="I92" activePane="bottomRight" state="frozen"/>
      <selection pane="topRight" activeCell="C1" sqref="C1"/>
      <selection pane="bottomLeft" activeCell="A2" sqref="A2"/>
      <selection pane="bottomRight" activeCell="L100" sqref="L100"/>
    </sheetView>
  </sheetViews>
  <sheetFormatPr defaultColWidth="11.42578125" defaultRowHeight="15" x14ac:dyDescent="0.25"/>
  <cols>
    <col min="3" max="3" width="26.42578125" customWidth="1"/>
    <col min="4" max="4" width="30.5703125" customWidth="1"/>
    <col min="6" max="6" width="11.42578125" style="57"/>
    <col min="24" max="24" width="11.42578125" style="57"/>
  </cols>
  <sheetData>
    <row r="1" spans="1:29" x14ac:dyDescent="0.25">
      <c r="A1" s="58" t="s">
        <v>211</v>
      </c>
      <c r="B1" s="58" t="s">
        <v>313</v>
      </c>
      <c r="C1" s="58" t="s">
        <v>180</v>
      </c>
      <c r="D1" s="58" t="s">
        <v>1</v>
      </c>
      <c r="E1" s="58" t="s">
        <v>2</v>
      </c>
      <c r="F1" s="59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  <c r="O1" s="58" t="s">
        <v>12</v>
      </c>
      <c r="P1" s="58" t="s">
        <v>13</v>
      </c>
      <c r="Q1" s="58" t="s">
        <v>14</v>
      </c>
      <c r="R1" s="58" t="s">
        <v>15</v>
      </c>
      <c r="S1" s="58" t="s">
        <v>16</v>
      </c>
      <c r="T1" s="58" t="s">
        <v>17</v>
      </c>
      <c r="U1" s="58" t="s">
        <v>18</v>
      </c>
      <c r="V1" s="58" t="s">
        <v>19</v>
      </c>
      <c r="W1" s="58" t="s">
        <v>20</v>
      </c>
      <c r="X1" s="59" t="s">
        <v>21</v>
      </c>
      <c r="Y1" s="58" t="s">
        <v>22</v>
      </c>
      <c r="Z1" s="58" t="s">
        <v>163</v>
      </c>
      <c r="AA1" s="58" t="s">
        <v>173</v>
      </c>
      <c r="AB1" s="58" t="s">
        <v>166</v>
      </c>
      <c r="AC1" s="58"/>
    </row>
    <row r="2" spans="1:29" x14ac:dyDescent="0.25">
      <c r="A2" s="58" t="s">
        <v>212</v>
      </c>
      <c r="B2" s="58" t="s">
        <v>318</v>
      </c>
      <c r="C2" s="58" t="s">
        <v>23</v>
      </c>
      <c r="D2" s="58" t="s">
        <v>23</v>
      </c>
      <c r="E2" s="58" t="s">
        <v>24</v>
      </c>
      <c r="F2" s="59">
        <v>37561</v>
      </c>
      <c r="G2" s="58">
        <v>2002</v>
      </c>
      <c r="H2" s="58">
        <v>8</v>
      </c>
      <c r="I2" s="58">
        <v>1</v>
      </c>
      <c r="J2" s="58">
        <v>8</v>
      </c>
      <c r="K2" s="58">
        <v>2125</v>
      </c>
      <c r="L2" s="58">
        <v>17</v>
      </c>
      <c r="M2" s="58">
        <v>0.18136868823529412</v>
      </c>
      <c r="N2" s="58">
        <v>3.0832676999999999</v>
      </c>
      <c r="O2" s="58" t="s">
        <v>25</v>
      </c>
      <c r="P2" s="58">
        <v>98.4</v>
      </c>
      <c r="Q2" s="58">
        <v>1.6728000000000003</v>
      </c>
      <c r="R2" s="58">
        <v>0.30339354167999999</v>
      </c>
      <c r="S2" s="58">
        <v>2012</v>
      </c>
      <c r="T2" s="58">
        <v>98.4</v>
      </c>
      <c r="U2" s="58">
        <v>1.6728000000000003</v>
      </c>
      <c r="V2" s="58">
        <v>1.6728000000000003</v>
      </c>
      <c r="W2" s="58">
        <v>1.3694064583199999</v>
      </c>
      <c r="X2" s="59">
        <v>43039</v>
      </c>
      <c r="Y2" s="58">
        <v>2017</v>
      </c>
      <c r="Z2" s="58" t="s">
        <v>164</v>
      </c>
      <c r="AA2" s="58"/>
      <c r="AB2" s="58"/>
      <c r="AC2" s="58"/>
    </row>
    <row r="3" spans="1:29" x14ac:dyDescent="0.25">
      <c r="A3" s="58" t="s">
        <v>214</v>
      </c>
      <c r="B3" s="58" t="s">
        <v>319</v>
      </c>
      <c r="C3" s="58" t="s">
        <v>26</v>
      </c>
      <c r="D3" s="58" t="s">
        <v>26</v>
      </c>
      <c r="E3" s="58" t="s">
        <v>24</v>
      </c>
      <c r="F3" s="59">
        <v>37936</v>
      </c>
      <c r="G3" s="58">
        <v>2003</v>
      </c>
      <c r="H3" s="58">
        <v>4</v>
      </c>
      <c r="I3" s="58">
        <v>1</v>
      </c>
      <c r="J3" s="58">
        <v>4</v>
      </c>
      <c r="K3" s="58">
        <v>1475</v>
      </c>
      <c r="L3" s="58">
        <v>5.9</v>
      </c>
      <c r="M3" s="58">
        <v>0.19086530789874492</v>
      </c>
      <c r="N3" s="58">
        <v>1.1261053166025952</v>
      </c>
      <c r="O3" s="58" t="s">
        <v>25</v>
      </c>
      <c r="P3" s="58">
        <v>98.4</v>
      </c>
      <c r="Q3" s="58">
        <v>0.58056000000000008</v>
      </c>
      <c r="R3" s="58">
        <v>0.11080876315369537</v>
      </c>
      <c r="S3" s="58">
        <v>2013</v>
      </c>
      <c r="T3" s="58">
        <v>98.4</v>
      </c>
      <c r="U3" s="58">
        <v>0.58056000000000008</v>
      </c>
      <c r="V3" s="58">
        <v>0.58056000000000008</v>
      </c>
      <c r="W3" s="58">
        <v>0.46975123684630465</v>
      </c>
      <c r="X3" s="59">
        <v>43414</v>
      </c>
      <c r="Y3" s="58">
        <v>2018</v>
      </c>
      <c r="Z3" s="58" t="s">
        <v>164</v>
      </c>
      <c r="AA3" s="58"/>
      <c r="AB3" s="58">
        <v>2028</v>
      </c>
      <c r="AC3" s="58" t="s">
        <v>172</v>
      </c>
    </row>
    <row r="4" spans="1:29" x14ac:dyDescent="0.25">
      <c r="A4" s="58" t="s">
        <v>215</v>
      </c>
      <c r="B4" s="58" t="s">
        <v>320</v>
      </c>
      <c r="C4" s="58" t="s">
        <v>27</v>
      </c>
      <c r="D4" s="58" t="s">
        <v>27</v>
      </c>
      <c r="E4" s="58" t="s">
        <v>24</v>
      </c>
      <c r="F4" s="59">
        <v>38343</v>
      </c>
      <c r="G4" s="58">
        <v>2004</v>
      </c>
      <c r="H4" s="58">
        <v>12</v>
      </c>
      <c r="I4" s="58">
        <v>1</v>
      </c>
      <c r="J4" s="58">
        <v>12</v>
      </c>
      <c r="K4" s="58">
        <v>1475</v>
      </c>
      <c r="L4" s="58">
        <v>17.7</v>
      </c>
      <c r="M4" s="58">
        <v>3.6138017954705504E-2</v>
      </c>
      <c r="N4" s="58">
        <v>0.63964291779828741</v>
      </c>
      <c r="O4" s="58" t="s">
        <v>25</v>
      </c>
      <c r="P4" s="58">
        <v>98.4</v>
      </c>
      <c r="Q4" s="58">
        <v>1.7416800000000001</v>
      </c>
      <c r="R4" s="58">
        <v>6.2940863111351483E-2</v>
      </c>
      <c r="S4" s="58">
        <v>2014</v>
      </c>
      <c r="T4" s="58">
        <v>98.4</v>
      </c>
      <c r="U4" s="58">
        <v>1.7416800000000001</v>
      </c>
      <c r="V4" s="58">
        <v>1.7416800000000001</v>
      </c>
      <c r="W4" s="58">
        <v>1.6787391368886486</v>
      </c>
      <c r="X4" s="59">
        <v>43820</v>
      </c>
      <c r="Y4" s="58">
        <v>2019</v>
      </c>
      <c r="Z4" s="58" t="s">
        <v>164</v>
      </c>
      <c r="AA4" s="58"/>
      <c r="AB4" s="58">
        <v>2028</v>
      </c>
      <c r="AC4" s="58" t="s">
        <v>172</v>
      </c>
    </row>
    <row r="5" spans="1:29" x14ac:dyDescent="0.25">
      <c r="A5" s="58"/>
      <c r="B5" s="58"/>
      <c r="C5" s="60" t="s">
        <v>28</v>
      </c>
      <c r="D5" s="60" t="s">
        <v>28</v>
      </c>
      <c r="E5" s="58" t="s">
        <v>24</v>
      </c>
      <c r="F5" s="59">
        <v>38632</v>
      </c>
      <c r="G5" s="58">
        <v>2005</v>
      </c>
      <c r="H5" s="58">
        <v>12</v>
      </c>
      <c r="I5" s="58">
        <v>1</v>
      </c>
      <c r="J5" s="58">
        <v>12</v>
      </c>
      <c r="K5" s="58">
        <v>1558.3332499999997</v>
      </c>
      <c r="L5" s="58">
        <v>18.699998999999995</v>
      </c>
      <c r="M5" s="58">
        <v>0.28917761249699148</v>
      </c>
      <c r="N5" s="58">
        <v>5.4076210645161265</v>
      </c>
      <c r="O5" s="58" t="s">
        <v>25</v>
      </c>
      <c r="P5" s="58">
        <v>98.4</v>
      </c>
      <c r="Q5" s="58">
        <v>1.8400799015999996</v>
      </c>
      <c r="R5" s="58">
        <v>0.53210991274838682</v>
      </c>
      <c r="S5" s="58">
        <v>2015</v>
      </c>
      <c r="T5" s="58">
        <v>98.4</v>
      </c>
      <c r="U5" s="58">
        <v>1.8400799015999996</v>
      </c>
      <c r="V5" s="58">
        <v>1.8400799015999996</v>
      </c>
      <c r="W5" s="58">
        <v>1.3079699888516128</v>
      </c>
      <c r="X5" s="59">
        <v>44110</v>
      </c>
      <c r="Y5" s="58">
        <v>2020</v>
      </c>
      <c r="Z5" s="58" t="s">
        <v>165</v>
      </c>
      <c r="AA5" s="58" t="s">
        <v>175</v>
      </c>
      <c r="AB5" s="58"/>
      <c r="AC5" s="58"/>
    </row>
    <row r="6" spans="1:29" x14ac:dyDescent="0.25">
      <c r="A6" s="58" t="s">
        <v>216</v>
      </c>
      <c r="B6" s="58" t="s">
        <v>321</v>
      </c>
      <c r="C6" s="58" t="s">
        <v>29</v>
      </c>
      <c r="D6" s="58" t="s">
        <v>183</v>
      </c>
      <c r="E6" s="58" t="s">
        <v>24</v>
      </c>
      <c r="F6" s="59">
        <v>38711</v>
      </c>
      <c r="G6" s="58">
        <v>2005</v>
      </c>
      <c r="H6" s="58">
        <v>9</v>
      </c>
      <c r="I6" s="58">
        <v>1</v>
      </c>
      <c r="J6" s="58">
        <v>39</v>
      </c>
      <c r="K6" s="58">
        <v>1715.3846410256408</v>
      </c>
      <c r="L6" s="58">
        <v>66.900000999999989</v>
      </c>
      <c r="M6" s="58">
        <v>2.2728430153535952E-2</v>
      </c>
      <c r="N6" s="58">
        <v>1.5205319999999851</v>
      </c>
      <c r="O6" s="58" t="s">
        <v>25</v>
      </c>
      <c r="P6" s="58">
        <v>99.7</v>
      </c>
      <c r="Q6" s="58">
        <v>6.6699300996999993</v>
      </c>
      <c r="R6" s="58">
        <v>0.15159704039999852</v>
      </c>
      <c r="S6" s="58">
        <v>2015</v>
      </c>
      <c r="T6" s="58">
        <v>99.7</v>
      </c>
      <c r="U6" s="58">
        <v>6.6699300996999993</v>
      </c>
      <c r="V6" s="58">
        <v>6.6699300996999984</v>
      </c>
      <c r="W6" s="58">
        <v>6.5183330592999997</v>
      </c>
      <c r="X6" s="59">
        <v>44189</v>
      </c>
      <c r="Y6" s="58">
        <v>2020</v>
      </c>
      <c r="Z6" s="58" t="s">
        <v>165</v>
      </c>
      <c r="AA6" s="58" t="s">
        <v>174</v>
      </c>
      <c r="AB6" s="58">
        <v>2031</v>
      </c>
      <c r="AC6" s="58" t="s">
        <v>167</v>
      </c>
    </row>
    <row r="7" spans="1:29" x14ac:dyDescent="0.25">
      <c r="A7" s="58" t="s">
        <v>217</v>
      </c>
      <c r="B7" s="58" t="s">
        <v>322</v>
      </c>
      <c r="C7" s="58"/>
      <c r="D7" s="58" t="s">
        <v>184</v>
      </c>
      <c r="E7" s="58" t="s">
        <v>24</v>
      </c>
      <c r="F7" s="59">
        <v>38711</v>
      </c>
      <c r="G7" s="58">
        <v>2005</v>
      </c>
      <c r="H7" s="58">
        <v>6</v>
      </c>
      <c r="I7" s="58">
        <v>1</v>
      </c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9"/>
      <c r="Y7" s="58"/>
      <c r="Z7" s="58"/>
      <c r="AA7" s="58"/>
      <c r="AB7" s="58"/>
      <c r="AC7" s="58"/>
    </row>
    <row r="8" spans="1:29" x14ac:dyDescent="0.25">
      <c r="A8" s="58" t="s">
        <v>218</v>
      </c>
      <c r="B8" s="58" t="s">
        <v>323</v>
      </c>
      <c r="C8" s="58"/>
      <c r="D8" s="58" t="s">
        <v>185</v>
      </c>
      <c r="E8" s="58" t="s">
        <v>24</v>
      </c>
      <c r="F8" s="59">
        <v>38711</v>
      </c>
      <c r="G8" s="58">
        <v>2005</v>
      </c>
      <c r="H8" s="58">
        <v>8</v>
      </c>
      <c r="I8" s="58">
        <v>1</v>
      </c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9"/>
      <c r="Y8" s="58"/>
      <c r="Z8" s="58"/>
      <c r="AA8" s="58"/>
      <c r="AB8" s="58"/>
      <c r="AC8" s="58"/>
    </row>
    <row r="9" spans="1:29" x14ac:dyDescent="0.25">
      <c r="A9" s="58" t="s">
        <v>219</v>
      </c>
      <c r="B9" s="58" t="s">
        <v>324</v>
      </c>
      <c r="C9" s="58"/>
      <c r="D9" s="58" t="s">
        <v>186</v>
      </c>
      <c r="E9" s="58" t="s">
        <v>24</v>
      </c>
      <c r="F9" s="59">
        <v>38711</v>
      </c>
      <c r="G9" s="58">
        <v>2005</v>
      </c>
      <c r="H9" s="58">
        <v>10</v>
      </c>
      <c r="I9" s="58">
        <v>1</v>
      </c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9"/>
      <c r="Y9" s="58"/>
      <c r="Z9" s="58"/>
      <c r="AA9" s="58"/>
      <c r="AB9" s="58"/>
      <c r="AC9" s="58"/>
    </row>
    <row r="10" spans="1:29" x14ac:dyDescent="0.25">
      <c r="A10" s="58"/>
      <c r="B10" s="58"/>
      <c r="C10" s="60" t="s">
        <v>31</v>
      </c>
      <c r="D10" s="60" t="s">
        <v>206</v>
      </c>
      <c r="E10" s="58" t="s">
        <v>24</v>
      </c>
      <c r="F10" s="59">
        <v>38711</v>
      </c>
      <c r="G10" s="58">
        <v>2005</v>
      </c>
      <c r="H10" s="58">
        <v>18</v>
      </c>
      <c r="I10" s="58">
        <v>1</v>
      </c>
      <c r="J10" s="58">
        <v>18</v>
      </c>
      <c r="K10" s="58">
        <v>3033.3333333333335</v>
      </c>
      <c r="L10" s="58">
        <v>54.6</v>
      </c>
      <c r="M10" s="58">
        <v>1.6306274370790613E-2</v>
      </c>
      <c r="N10" s="58">
        <v>0.89032258064516745</v>
      </c>
      <c r="O10" s="58" t="s">
        <v>25</v>
      </c>
      <c r="P10" s="58">
        <v>56.6</v>
      </c>
      <c r="Q10" s="58">
        <v>3.09036</v>
      </c>
      <c r="R10" s="58">
        <v>5.0392258064516478E-2</v>
      </c>
      <c r="S10" s="58">
        <v>2015</v>
      </c>
      <c r="T10" s="58">
        <v>56.333333333333314</v>
      </c>
      <c r="U10" s="58">
        <v>3.0757999999999992</v>
      </c>
      <c r="V10" s="58">
        <v>3.0901225806451618</v>
      </c>
      <c r="W10" s="58">
        <v>3.025645161290321</v>
      </c>
      <c r="X10" s="59">
        <v>44189</v>
      </c>
      <c r="Y10" s="58">
        <v>2020</v>
      </c>
      <c r="Z10" s="58" t="s">
        <v>165</v>
      </c>
      <c r="AA10" s="58" t="s">
        <v>175</v>
      </c>
      <c r="AB10" s="58"/>
      <c r="AC10" s="58"/>
    </row>
    <row r="11" spans="1:29" x14ac:dyDescent="0.25">
      <c r="A11" s="58"/>
      <c r="B11" s="58"/>
      <c r="C11" s="58"/>
      <c r="D11" s="60" t="s">
        <v>207</v>
      </c>
      <c r="E11" s="58" t="s">
        <v>24</v>
      </c>
      <c r="F11" s="59"/>
      <c r="G11" s="58"/>
      <c r="H11" s="58"/>
      <c r="I11" s="58">
        <v>1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9"/>
      <c r="Y11" s="58"/>
      <c r="Z11" s="58"/>
      <c r="AA11" s="58"/>
      <c r="AB11" s="58"/>
      <c r="AC11" s="58"/>
    </row>
    <row r="12" spans="1:29" ht="14.25" customHeight="1" x14ac:dyDescent="0.25">
      <c r="A12" s="58" t="s">
        <v>220</v>
      </c>
      <c r="B12" s="58" t="s">
        <v>325</v>
      </c>
      <c r="C12" s="58" t="s">
        <v>33</v>
      </c>
      <c r="D12" s="58" t="s">
        <v>33</v>
      </c>
      <c r="E12" s="58" t="s">
        <v>24</v>
      </c>
      <c r="F12" s="59">
        <v>38747</v>
      </c>
      <c r="G12" s="58">
        <v>2006</v>
      </c>
      <c r="H12" s="58">
        <v>8</v>
      </c>
      <c r="I12" s="58">
        <v>1</v>
      </c>
      <c r="J12" s="58">
        <v>8</v>
      </c>
      <c r="K12" s="58">
        <v>2317.6248749999995</v>
      </c>
      <c r="L12" s="58">
        <v>18.540998999999996</v>
      </c>
      <c r="M12" s="58">
        <v>0.88446243185257323</v>
      </c>
      <c r="N12" s="58">
        <v>16.398817064516123</v>
      </c>
      <c r="O12" s="58" t="s">
        <v>25</v>
      </c>
      <c r="P12" s="58">
        <v>85.5</v>
      </c>
      <c r="Q12" s="58">
        <v>1.5852554144999997</v>
      </c>
      <c r="R12" s="58">
        <v>1.4020988590161285</v>
      </c>
      <c r="S12" s="58">
        <v>2016</v>
      </c>
      <c r="T12" s="58">
        <v>85.5</v>
      </c>
      <c r="U12" s="58">
        <v>1.5852554144999997</v>
      </c>
      <c r="V12" s="58">
        <v>1.5852554144999997</v>
      </c>
      <c r="W12" s="58">
        <v>0.18315655548387111</v>
      </c>
      <c r="X12" s="59">
        <v>44225</v>
      </c>
      <c r="Y12" s="58">
        <v>2021</v>
      </c>
      <c r="Z12" s="58" t="s">
        <v>165</v>
      </c>
      <c r="AA12" s="58">
        <v>2026</v>
      </c>
      <c r="AB12" s="58"/>
      <c r="AC12" s="58"/>
    </row>
    <row r="13" spans="1:29" x14ac:dyDescent="0.25">
      <c r="A13" s="58"/>
      <c r="B13" s="58"/>
      <c r="C13" s="60" t="s">
        <v>34</v>
      </c>
      <c r="D13" s="60" t="s">
        <v>34</v>
      </c>
      <c r="E13" s="58" t="s">
        <v>24</v>
      </c>
      <c r="F13" s="59">
        <v>38954</v>
      </c>
      <c r="G13" s="58">
        <v>2006</v>
      </c>
      <c r="H13" s="58">
        <v>12</v>
      </c>
      <c r="I13" s="58">
        <v>1</v>
      </c>
      <c r="J13" s="58">
        <v>12</v>
      </c>
      <c r="K13" s="58">
        <v>1958.333333333333</v>
      </c>
      <c r="L13" s="58">
        <v>23.499999999999996</v>
      </c>
      <c r="M13" s="58">
        <v>0.37706226355525047</v>
      </c>
      <c r="N13" s="58">
        <v>8.8609631935483844</v>
      </c>
      <c r="O13" s="58" t="s">
        <v>25</v>
      </c>
      <c r="P13" s="58">
        <v>95.1</v>
      </c>
      <c r="Q13" s="58">
        <v>2.2348499999999993</v>
      </c>
      <c r="R13" s="58">
        <v>0.84267759970645129</v>
      </c>
      <c r="S13" s="58">
        <v>2016</v>
      </c>
      <c r="T13" s="58">
        <v>95.1</v>
      </c>
      <c r="U13" s="58">
        <v>2.2348499999999993</v>
      </c>
      <c r="V13" s="58">
        <v>2.2348499999999993</v>
      </c>
      <c r="W13" s="58">
        <v>1.3921724002935483</v>
      </c>
      <c r="X13" s="59">
        <v>44432</v>
      </c>
      <c r="Y13" s="58">
        <v>2021</v>
      </c>
      <c r="Z13" s="58" t="s">
        <v>165</v>
      </c>
      <c r="AA13" s="58" t="s">
        <v>175</v>
      </c>
      <c r="AB13" s="58"/>
      <c r="AC13" s="58"/>
    </row>
    <row r="14" spans="1:29" x14ac:dyDescent="0.25">
      <c r="A14" s="58"/>
      <c r="B14" s="58"/>
      <c r="C14" s="60" t="s">
        <v>35</v>
      </c>
      <c r="D14" s="60" t="s">
        <v>35</v>
      </c>
      <c r="E14" s="58" t="s">
        <v>24</v>
      </c>
      <c r="F14" s="59">
        <v>38954</v>
      </c>
      <c r="G14" s="58">
        <v>2006</v>
      </c>
      <c r="H14" s="58">
        <v>12</v>
      </c>
      <c r="I14" s="58">
        <v>1</v>
      </c>
      <c r="J14" s="58">
        <v>12</v>
      </c>
      <c r="K14" s="58">
        <v>1983.3332499999999</v>
      </c>
      <c r="L14" s="58">
        <v>23.799999</v>
      </c>
      <c r="M14" s="58">
        <v>0.3766232199448627</v>
      </c>
      <c r="N14" s="58">
        <v>8.9636322580645125</v>
      </c>
      <c r="O14" s="58" t="s">
        <v>25</v>
      </c>
      <c r="P14" s="58">
        <v>95.1</v>
      </c>
      <c r="Q14" s="58">
        <v>2.2633799048999999</v>
      </c>
      <c r="R14" s="58">
        <v>0.8524414277419351</v>
      </c>
      <c r="S14" s="58">
        <v>2016</v>
      </c>
      <c r="T14" s="58">
        <v>95.1</v>
      </c>
      <c r="U14" s="58">
        <v>2.2633799048999999</v>
      </c>
      <c r="V14" s="58">
        <v>2.2633799048999999</v>
      </c>
      <c r="W14" s="58">
        <v>1.4109384771580646</v>
      </c>
      <c r="X14" s="59">
        <v>44432</v>
      </c>
      <c r="Y14" s="58">
        <v>2021</v>
      </c>
      <c r="Z14" s="58" t="s">
        <v>165</v>
      </c>
      <c r="AA14" s="58" t="s">
        <v>175</v>
      </c>
      <c r="AB14" s="58"/>
      <c r="AC14" s="58"/>
    </row>
    <row r="15" spans="1:29" x14ac:dyDescent="0.25">
      <c r="A15" s="58" t="s">
        <v>221</v>
      </c>
      <c r="B15" s="58" t="s">
        <v>326</v>
      </c>
      <c r="C15" s="58" t="s">
        <v>36</v>
      </c>
      <c r="D15" s="58" t="s">
        <v>36</v>
      </c>
      <c r="E15" s="58" t="s">
        <v>24</v>
      </c>
      <c r="F15" s="59">
        <v>39278</v>
      </c>
      <c r="G15" s="58">
        <v>2007</v>
      </c>
      <c r="H15" s="58">
        <v>13.8</v>
      </c>
      <c r="I15" s="58">
        <v>1</v>
      </c>
      <c r="J15" s="58">
        <v>13.8</v>
      </c>
      <c r="K15" s="58">
        <v>2144.9274637681156</v>
      </c>
      <c r="L15" s="58">
        <v>29.599998999999997</v>
      </c>
      <c r="M15" s="58">
        <v>0.44405224582129427</v>
      </c>
      <c r="N15" s="58">
        <v>13.143946032258063</v>
      </c>
      <c r="O15" s="58" t="s">
        <v>25</v>
      </c>
      <c r="P15" s="58">
        <v>95.3</v>
      </c>
      <c r="Q15" s="58">
        <v>2.8208799046999999</v>
      </c>
      <c r="R15" s="58">
        <v>1.2526180568741934</v>
      </c>
      <c r="S15" s="58">
        <v>2017</v>
      </c>
      <c r="T15" s="58">
        <v>95.3</v>
      </c>
      <c r="U15" s="58">
        <v>2.8208799046999999</v>
      </c>
      <c r="V15" s="58">
        <v>2.8208799046999995</v>
      </c>
      <c r="W15" s="58">
        <v>1.5682618478258061</v>
      </c>
      <c r="X15" s="59">
        <v>44756</v>
      </c>
      <c r="Y15" s="58">
        <v>2022</v>
      </c>
      <c r="Z15" s="58" t="s">
        <v>165</v>
      </c>
      <c r="AA15" s="58" t="s">
        <v>168</v>
      </c>
      <c r="AB15" s="58"/>
      <c r="AC15" s="58"/>
    </row>
    <row r="16" spans="1:29" x14ac:dyDescent="0.25">
      <c r="A16" s="58"/>
      <c r="B16" s="58"/>
      <c r="C16" s="60" t="s">
        <v>37</v>
      </c>
      <c r="D16" s="60" t="s">
        <v>37</v>
      </c>
      <c r="E16" s="58" t="s">
        <v>24</v>
      </c>
      <c r="F16" s="59">
        <v>39326</v>
      </c>
      <c r="G16" s="58">
        <v>2007</v>
      </c>
      <c r="H16" s="58">
        <v>12</v>
      </c>
      <c r="I16" s="58">
        <v>1</v>
      </c>
      <c r="J16" s="58">
        <v>12</v>
      </c>
      <c r="K16" s="58">
        <v>1800.0000833333334</v>
      </c>
      <c r="L16" s="58">
        <v>21.600000999999999</v>
      </c>
      <c r="M16" s="58">
        <v>0.36282123320272069</v>
      </c>
      <c r="N16" s="58">
        <v>7.8369390000000001</v>
      </c>
      <c r="O16" s="58" t="s">
        <v>25</v>
      </c>
      <c r="P16" s="58">
        <v>95.2</v>
      </c>
      <c r="Q16" s="58">
        <v>2.0563200951999998</v>
      </c>
      <c r="R16" s="58">
        <v>0.74607659280000005</v>
      </c>
      <c r="S16" s="58">
        <v>2017</v>
      </c>
      <c r="T16" s="58">
        <v>95.2</v>
      </c>
      <c r="U16" s="58">
        <v>2.0563200951999998</v>
      </c>
      <c r="V16" s="58">
        <v>2.0563200951999998</v>
      </c>
      <c r="W16" s="58">
        <v>1.3102435023999999</v>
      </c>
      <c r="X16" s="59">
        <v>44804</v>
      </c>
      <c r="Y16" s="58">
        <v>2022</v>
      </c>
      <c r="Z16" s="58" t="s">
        <v>165</v>
      </c>
      <c r="AA16" s="58" t="s">
        <v>175</v>
      </c>
      <c r="AB16" s="58"/>
      <c r="AC16" s="58"/>
    </row>
    <row r="17" spans="1:29" x14ac:dyDescent="0.25">
      <c r="A17" s="58" t="s">
        <v>222</v>
      </c>
      <c r="B17" s="58" t="s">
        <v>38</v>
      </c>
      <c r="C17" s="58" t="s">
        <v>38</v>
      </c>
      <c r="D17" s="58" t="s">
        <v>38</v>
      </c>
      <c r="E17" s="58" t="s">
        <v>24</v>
      </c>
      <c r="F17" s="59">
        <v>39359</v>
      </c>
      <c r="G17" s="58">
        <v>2007</v>
      </c>
      <c r="H17" s="58">
        <v>4</v>
      </c>
      <c r="I17" s="58">
        <v>1</v>
      </c>
      <c r="J17" s="58">
        <v>4</v>
      </c>
      <c r="K17" s="58">
        <v>2257.5</v>
      </c>
      <c r="L17" s="58">
        <v>9.0299999999999994</v>
      </c>
      <c r="M17" s="58">
        <v>0.25075095916836354</v>
      </c>
      <c r="N17" s="58">
        <v>2.2642811612903224</v>
      </c>
      <c r="O17" s="58" t="s">
        <v>25</v>
      </c>
      <c r="P17" s="58">
        <v>94.8</v>
      </c>
      <c r="Q17" s="58">
        <v>0.85604399999999992</v>
      </c>
      <c r="R17" s="58">
        <v>0.21465385409032256</v>
      </c>
      <c r="S17" s="58">
        <v>2017</v>
      </c>
      <c r="T17" s="58">
        <v>94.8</v>
      </c>
      <c r="U17" s="58">
        <v>0.85604399999999992</v>
      </c>
      <c r="V17" s="58">
        <v>0.85604399999999992</v>
      </c>
      <c r="W17" s="58">
        <v>0.64139014590967736</v>
      </c>
      <c r="X17" s="59">
        <v>44837</v>
      </c>
      <c r="Y17" s="58">
        <v>2022</v>
      </c>
      <c r="Z17" s="58" t="s">
        <v>165</v>
      </c>
      <c r="AA17" s="58" t="s">
        <v>169</v>
      </c>
      <c r="AB17" s="58"/>
      <c r="AC17" s="58"/>
    </row>
    <row r="18" spans="1:29" x14ac:dyDescent="0.25">
      <c r="A18" s="58" t="s">
        <v>223</v>
      </c>
      <c r="B18" s="58" t="s">
        <v>39</v>
      </c>
      <c r="C18" s="58" t="s">
        <v>39</v>
      </c>
      <c r="D18" s="58" t="s">
        <v>39</v>
      </c>
      <c r="E18" s="58" t="s">
        <v>24</v>
      </c>
      <c r="F18" s="59">
        <v>39418</v>
      </c>
      <c r="G18" s="58">
        <v>2007</v>
      </c>
      <c r="H18" s="58">
        <v>10</v>
      </c>
      <c r="I18" s="58">
        <v>1</v>
      </c>
      <c r="J18" s="58">
        <v>10</v>
      </c>
      <c r="K18" s="58">
        <v>1697.9999</v>
      </c>
      <c r="L18" s="58">
        <v>16.979998999999999</v>
      </c>
      <c r="M18" s="58">
        <v>0.10909389866999288</v>
      </c>
      <c r="N18" s="58">
        <v>1.8524142903225802</v>
      </c>
      <c r="O18" s="58" t="s">
        <v>25</v>
      </c>
      <c r="P18" s="58">
        <v>94.7</v>
      </c>
      <c r="Q18" s="58">
        <v>1.6080059053</v>
      </c>
      <c r="R18" s="58">
        <v>0.17542363329354838</v>
      </c>
      <c r="S18" s="58">
        <v>2017</v>
      </c>
      <c r="T18" s="58">
        <v>94.7</v>
      </c>
      <c r="U18" s="58">
        <v>1.6080059053</v>
      </c>
      <c r="V18" s="58">
        <v>1.6080059053</v>
      </c>
      <c r="W18" s="58">
        <v>1.4325822720064516</v>
      </c>
      <c r="X18" s="59">
        <v>44896</v>
      </c>
      <c r="Y18" s="58">
        <v>2022</v>
      </c>
      <c r="Z18" s="58" t="s">
        <v>165</v>
      </c>
      <c r="AA18" s="58" t="s">
        <v>176</v>
      </c>
      <c r="AB18" s="58">
        <v>2035</v>
      </c>
      <c r="AC18" s="58"/>
    </row>
    <row r="19" spans="1:29" x14ac:dyDescent="0.25">
      <c r="A19" s="58" t="s">
        <v>224</v>
      </c>
      <c r="B19" s="58" t="s">
        <v>40</v>
      </c>
      <c r="C19" s="58" t="s">
        <v>40</v>
      </c>
      <c r="D19" s="58" t="s">
        <v>40</v>
      </c>
      <c r="E19" s="58" t="s">
        <v>24</v>
      </c>
      <c r="F19" s="59">
        <v>39507</v>
      </c>
      <c r="G19" s="58">
        <v>2008</v>
      </c>
      <c r="H19" s="58">
        <v>8.1</v>
      </c>
      <c r="I19" s="58">
        <v>1</v>
      </c>
      <c r="J19" s="58">
        <v>8.1</v>
      </c>
      <c r="K19" s="58">
        <v>1148.1482716049384</v>
      </c>
      <c r="L19" s="58">
        <v>9.300001</v>
      </c>
      <c r="M19" s="58">
        <v>0.75242357500821777</v>
      </c>
      <c r="N19" s="58">
        <v>6.9975399999999999</v>
      </c>
      <c r="O19" s="58" t="s">
        <v>25</v>
      </c>
      <c r="P19" s="58">
        <v>94.2</v>
      </c>
      <c r="Q19" s="58">
        <v>0.87606009419999997</v>
      </c>
      <c r="R19" s="58">
        <v>0.65916826800000006</v>
      </c>
      <c r="S19" s="58">
        <v>2018</v>
      </c>
      <c r="T19" s="58">
        <v>94.2</v>
      </c>
      <c r="U19" s="58">
        <v>0.87606009419999997</v>
      </c>
      <c r="V19" s="58">
        <v>0.87606009419999997</v>
      </c>
      <c r="W19" s="58">
        <v>0.21689182620000003</v>
      </c>
      <c r="X19" s="59">
        <v>44984</v>
      </c>
      <c r="Y19" s="58">
        <v>2023</v>
      </c>
      <c r="Z19" s="58" t="s">
        <v>164</v>
      </c>
      <c r="AA19" s="58"/>
      <c r="AB19" s="58">
        <v>2037</v>
      </c>
      <c r="AC19" s="58"/>
    </row>
    <row r="20" spans="1:29" x14ac:dyDescent="0.25">
      <c r="A20" s="58" t="s">
        <v>225</v>
      </c>
      <c r="B20" s="58" t="s">
        <v>327</v>
      </c>
      <c r="C20" s="58" t="s">
        <v>41</v>
      </c>
      <c r="D20" s="58" t="s">
        <v>41</v>
      </c>
      <c r="E20" s="58" t="s">
        <v>24</v>
      </c>
      <c r="F20" s="59">
        <v>39553</v>
      </c>
      <c r="G20" s="58">
        <v>2008</v>
      </c>
      <c r="H20" s="58">
        <v>11.5</v>
      </c>
      <c r="I20" s="58">
        <v>1</v>
      </c>
      <c r="J20" s="58">
        <v>11.5</v>
      </c>
      <c r="K20" s="58">
        <v>1765.2173043478265</v>
      </c>
      <c r="L20" s="58">
        <v>20.299999000000003</v>
      </c>
      <c r="M20" s="58">
        <v>0.64798621418651314</v>
      </c>
      <c r="N20" s="58">
        <v>13.154119500000006</v>
      </c>
      <c r="O20" s="58" t="s">
        <v>25</v>
      </c>
      <c r="P20" s="58">
        <v>93.9</v>
      </c>
      <c r="Q20" s="58">
        <v>1.9061699061000004</v>
      </c>
      <c r="R20" s="58">
        <v>1.2351718210500005</v>
      </c>
      <c r="S20" s="58">
        <v>2018</v>
      </c>
      <c r="T20" s="58">
        <v>93.9</v>
      </c>
      <c r="U20" s="58">
        <v>1.9061699061000004</v>
      </c>
      <c r="V20" s="58">
        <v>1.9061699061000004</v>
      </c>
      <c r="W20" s="58">
        <v>0.67099808504999991</v>
      </c>
      <c r="X20" s="59">
        <v>45030</v>
      </c>
      <c r="Y20" s="58">
        <v>2023</v>
      </c>
      <c r="Z20" s="58" t="s">
        <v>165</v>
      </c>
      <c r="AA20" s="58">
        <v>2026</v>
      </c>
      <c r="AB20" s="58"/>
      <c r="AC20" s="58"/>
    </row>
    <row r="21" spans="1:29" x14ac:dyDescent="0.25">
      <c r="A21" s="58" t="s">
        <v>213</v>
      </c>
      <c r="B21" s="58" t="s">
        <v>328</v>
      </c>
      <c r="C21" s="58" t="s">
        <v>42</v>
      </c>
      <c r="D21" s="58" t="s">
        <v>42</v>
      </c>
      <c r="E21" s="58" t="s">
        <v>24</v>
      </c>
      <c r="F21" s="59">
        <v>39811</v>
      </c>
      <c r="G21" s="58">
        <v>2008</v>
      </c>
      <c r="H21" s="58">
        <v>4.5999999999999996</v>
      </c>
      <c r="I21" s="58">
        <v>1</v>
      </c>
      <c r="J21" s="58">
        <v>4.5999999999999996</v>
      </c>
      <c r="K21" s="58">
        <v>2304.347826086957</v>
      </c>
      <c r="L21" s="58">
        <v>10.600000000000001</v>
      </c>
      <c r="M21" s="58">
        <v>6.0157455873403407E-3</v>
      </c>
      <c r="N21" s="58">
        <v>6.3766903225807622E-2</v>
      </c>
      <c r="O21" s="58" t="s">
        <v>25</v>
      </c>
      <c r="P21" s="58">
        <v>91.9</v>
      </c>
      <c r="Q21" s="58">
        <v>0.97414000000000023</v>
      </c>
      <c r="R21" s="58">
        <v>5.860178406451721E-3</v>
      </c>
      <c r="S21" s="58">
        <v>2018</v>
      </c>
      <c r="T21" s="58">
        <v>91.9</v>
      </c>
      <c r="U21" s="58">
        <v>0.97414000000000023</v>
      </c>
      <c r="V21" s="58">
        <v>0.97414000000000023</v>
      </c>
      <c r="W21" s="58">
        <v>0.96827982159354842</v>
      </c>
      <c r="X21" s="59">
        <v>45288</v>
      </c>
      <c r="Y21" s="58">
        <v>2023</v>
      </c>
      <c r="Z21" s="58" t="s">
        <v>164</v>
      </c>
      <c r="AA21" s="58"/>
      <c r="AB21" s="58">
        <v>2030</v>
      </c>
      <c r="AC21" s="58"/>
    </row>
    <row r="22" spans="1:29" x14ac:dyDescent="0.25">
      <c r="A22" s="58" t="s">
        <v>226</v>
      </c>
      <c r="B22" s="58" t="s">
        <v>329</v>
      </c>
      <c r="C22" s="58" t="s">
        <v>43</v>
      </c>
      <c r="D22" s="58" t="s">
        <v>43</v>
      </c>
      <c r="E22" s="58" t="s">
        <v>24</v>
      </c>
      <c r="F22" s="59">
        <v>39813</v>
      </c>
      <c r="G22" s="58">
        <v>2008</v>
      </c>
      <c r="H22" s="58">
        <v>8</v>
      </c>
      <c r="I22" s="58">
        <v>1</v>
      </c>
      <c r="J22" s="58">
        <v>8</v>
      </c>
      <c r="K22" s="58">
        <v>1775.0001249999998</v>
      </c>
      <c r="L22" s="58">
        <v>14.200000999999999</v>
      </c>
      <c r="M22" s="58">
        <v>0</v>
      </c>
      <c r="N22" s="58">
        <v>0</v>
      </c>
      <c r="O22" s="58" t="s">
        <v>25</v>
      </c>
      <c r="P22" s="58">
        <v>91.9</v>
      </c>
      <c r="Q22" s="58">
        <v>1.3049800918999999</v>
      </c>
      <c r="R22" s="58">
        <v>0</v>
      </c>
      <c r="S22" s="58">
        <v>2018</v>
      </c>
      <c r="T22" s="58">
        <v>91.9</v>
      </c>
      <c r="U22" s="58">
        <v>1.3049800918999999</v>
      </c>
      <c r="V22" s="58">
        <v>1.3049800918999999</v>
      </c>
      <c r="W22" s="58">
        <v>1.3049800918999999</v>
      </c>
      <c r="X22" s="59">
        <v>45290</v>
      </c>
      <c r="Y22" s="58">
        <v>2023</v>
      </c>
      <c r="Z22" s="58" t="s">
        <v>164</v>
      </c>
      <c r="AA22" s="58"/>
      <c r="AB22" s="58">
        <v>2034</v>
      </c>
      <c r="AC22" s="58"/>
    </row>
    <row r="23" spans="1:29" x14ac:dyDescent="0.25">
      <c r="A23" s="58" t="s">
        <v>227</v>
      </c>
      <c r="B23" s="58" t="s">
        <v>44</v>
      </c>
      <c r="C23" s="58" t="s">
        <v>44</v>
      </c>
      <c r="D23" s="58" t="s">
        <v>44</v>
      </c>
      <c r="E23" s="58" t="s">
        <v>24</v>
      </c>
      <c r="F23" s="59">
        <v>39813</v>
      </c>
      <c r="G23" s="58">
        <v>2008</v>
      </c>
      <c r="H23" s="58">
        <v>12</v>
      </c>
      <c r="I23" s="58">
        <v>1</v>
      </c>
      <c r="J23" s="58">
        <v>12</v>
      </c>
      <c r="K23" s="58">
        <v>1669.1666666666667</v>
      </c>
      <c r="L23" s="58">
        <v>20.03</v>
      </c>
      <c r="M23" s="58">
        <v>-2.2204460492503131E-16</v>
      </c>
      <c r="N23" s="58">
        <v>-4.4475534366483774E-15</v>
      </c>
      <c r="O23" s="58" t="s">
        <v>25</v>
      </c>
      <c r="P23" s="58">
        <v>91.9</v>
      </c>
      <c r="Q23" s="58">
        <v>1.8407570000000002</v>
      </c>
      <c r="R23" s="58">
        <v>-4.087301608279859E-16</v>
      </c>
      <c r="S23" s="58">
        <v>2018</v>
      </c>
      <c r="T23" s="58">
        <v>91.9</v>
      </c>
      <c r="U23" s="58">
        <v>1.8407570000000002</v>
      </c>
      <c r="V23" s="58">
        <v>1.8407570000000002</v>
      </c>
      <c r="W23" s="58">
        <v>1.8407570000000004</v>
      </c>
      <c r="X23" s="59">
        <v>45290</v>
      </c>
      <c r="Y23" s="58">
        <v>2023</v>
      </c>
      <c r="Z23" s="58" t="s">
        <v>177</v>
      </c>
      <c r="AA23" s="58">
        <v>2024</v>
      </c>
      <c r="AB23" s="58">
        <v>2033</v>
      </c>
      <c r="AC23" s="58"/>
    </row>
    <row r="24" spans="1:29" x14ac:dyDescent="0.25">
      <c r="A24" s="58" t="s">
        <v>228</v>
      </c>
      <c r="B24" s="58" t="s">
        <v>45</v>
      </c>
      <c r="C24" s="58" t="s">
        <v>45</v>
      </c>
      <c r="D24" s="58" t="s">
        <v>45</v>
      </c>
      <c r="E24" s="58" t="s">
        <v>24</v>
      </c>
      <c r="F24" s="59">
        <v>39825</v>
      </c>
      <c r="G24" s="58">
        <v>2009</v>
      </c>
      <c r="H24" s="58">
        <v>12</v>
      </c>
      <c r="I24" s="58">
        <v>1</v>
      </c>
      <c r="J24" s="58">
        <v>12</v>
      </c>
      <c r="K24" s="58">
        <v>1710.0000016666665</v>
      </c>
      <c r="L24" s="58">
        <v>20.520000020000001</v>
      </c>
      <c r="M24" s="58">
        <v>0.9574628796868091</v>
      </c>
      <c r="N24" s="58">
        <v>19.647138310322582</v>
      </c>
      <c r="O24" s="58" t="s">
        <v>25</v>
      </c>
      <c r="P24" s="58">
        <v>91.9</v>
      </c>
      <c r="Q24" s="58">
        <v>1.8857880018380002</v>
      </c>
      <c r="R24" s="58">
        <v>1.8055720107186453</v>
      </c>
      <c r="S24" s="58">
        <v>2019</v>
      </c>
      <c r="T24" s="58">
        <v>91.9</v>
      </c>
      <c r="U24" s="58">
        <v>1.8857880018380002</v>
      </c>
      <c r="V24" s="58">
        <v>1.8857880018380002</v>
      </c>
      <c r="W24" s="58">
        <v>8.0215991119354846E-2</v>
      </c>
      <c r="X24" s="59">
        <v>45302</v>
      </c>
      <c r="Y24" s="58">
        <v>2024</v>
      </c>
      <c r="Z24" s="58" t="s">
        <v>164</v>
      </c>
      <c r="AA24" s="58"/>
      <c r="AB24" s="58">
        <v>2034</v>
      </c>
      <c r="AC24" s="58"/>
    </row>
    <row r="25" spans="1:29" x14ac:dyDescent="0.25">
      <c r="A25" s="58" t="s">
        <v>229</v>
      </c>
      <c r="B25" s="58" t="s">
        <v>330</v>
      </c>
      <c r="C25" s="58" t="s">
        <v>46</v>
      </c>
      <c r="D25" s="58" t="s">
        <v>46</v>
      </c>
      <c r="E25" s="58" t="s">
        <v>24</v>
      </c>
      <c r="F25" s="59">
        <v>39966</v>
      </c>
      <c r="G25" s="58">
        <v>2009</v>
      </c>
      <c r="H25" s="58">
        <v>8</v>
      </c>
      <c r="I25" s="58">
        <v>1</v>
      </c>
      <c r="J25" s="58">
        <v>8</v>
      </c>
      <c r="K25" s="58">
        <v>2164.999875</v>
      </c>
      <c r="L25" s="58">
        <v>17.319998999999999</v>
      </c>
      <c r="M25" s="58">
        <v>0.5331102501795757</v>
      </c>
      <c r="N25" s="58">
        <v>9.2334690000000013</v>
      </c>
      <c r="O25" s="58" t="s">
        <v>25</v>
      </c>
      <c r="P25" s="58">
        <v>95.9</v>
      </c>
      <c r="Q25" s="58">
        <v>1.6609879041</v>
      </c>
      <c r="R25" s="58">
        <v>0.88548967710000026</v>
      </c>
      <c r="S25" s="58">
        <v>2019</v>
      </c>
      <c r="T25" s="58">
        <v>95.9</v>
      </c>
      <c r="U25" s="58">
        <v>1.6609879041</v>
      </c>
      <c r="V25" s="58">
        <v>1.6609879041</v>
      </c>
      <c r="W25" s="58">
        <v>0.77549822699999982</v>
      </c>
      <c r="X25" s="59">
        <v>45444</v>
      </c>
      <c r="Y25" s="58">
        <v>2024</v>
      </c>
      <c r="Z25" s="58" t="s">
        <v>165</v>
      </c>
      <c r="AA25" s="58" t="s">
        <v>168</v>
      </c>
      <c r="AB25" s="58"/>
      <c r="AC25" s="58"/>
    </row>
    <row r="26" spans="1:29" x14ac:dyDescent="0.25">
      <c r="A26" s="58" t="s">
        <v>230</v>
      </c>
      <c r="B26" s="58" t="s">
        <v>331</v>
      </c>
      <c r="C26" s="58" t="s">
        <v>47</v>
      </c>
      <c r="D26" s="58" t="s">
        <v>48</v>
      </c>
      <c r="E26" s="58" t="s">
        <v>24</v>
      </c>
      <c r="F26" s="59">
        <v>39995</v>
      </c>
      <c r="G26" s="58">
        <v>2009</v>
      </c>
      <c r="H26" s="58">
        <v>9.1999999999999993</v>
      </c>
      <c r="I26" s="58">
        <v>1</v>
      </c>
      <c r="J26" s="58">
        <v>9.1999999999999993</v>
      </c>
      <c r="K26" s="58">
        <v>2746.0870144927535</v>
      </c>
      <c r="L26" s="58">
        <v>25.264000533333331</v>
      </c>
      <c r="M26" s="58">
        <v>0.48611264066035276</v>
      </c>
      <c r="N26" s="58">
        <v>12.281150012903225</v>
      </c>
      <c r="O26" s="58" t="s">
        <v>25</v>
      </c>
      <c r="P26" s="58">
        <v>92.3</v>
      </c>
      <c r="Q26" s="58">
        <v>2.3318672492266663</v>
      </c>
      <c r="R26" s="58">
        <v>1.1335501461909678</v>
      </c>
      <c r="S26" s="58">
        <v>2019</v>
      </c>
      <c r="T26" s="58">
        <v>71.275213869565249</v>
      </c>
      <c r="U26" s="58">
        <v>1.8006970412141436</v>
      </c>
      <c r="V26" s="58">
        <v>2.07365869676959</v>
      </c>
      <c r="W26" s="58">
        <v>0.92535544748025222</v>
      </c>
      <c r="X26" s="59">
        <v>45473</v>
      </c>
      <c r="Y26" s="58">
        <v>2024</v>
      </c>
      <c r="Z26" s="58" t="s">
        <v>165</v>
      </c>
      <c r="AA26" s="58" t="s">
        <v>178</v>
      </c>
      <c r="AB26" s="58"/>
      <c r="AC26" s="58"/>
    </row>
    <row r="27" spans="1:29" x14ac:dyDescent="0.25">
      <c r="A27" s="58" t="s">
        <v>233</v>
      </c>
      <c r="B27" s="58" t="s">
        <v>49</v>
      </c>
      <c r="C27" s="58" t="s">
        <v>49</v>
      </c>
      <c r="D27" s="58" t="s">
        <v>49</v>
      </c>
      <c r="E27" s="58" t="s">
        <v>24</v>
      </c>
      <c r="F27" s="59">
        <v>40037</v>
      </c>
      <c r="G27" s="58">
        <v>2009</v>
      </c>
      <c r="H27" s="58">
        <v>12</v>
      </c>
      <c r="I27" s="58">
        <v>1</v>
      </c>
      <c r="J27" s="58">
        <v>12</v>
      </c>
      <c r="K27" s="58">
        <v>1551.6666666666667</v>
      </c>
      <c r="L27" s="58">
        <v>18.62</v>
      </c>
      <c r="M27" s="58">
        <v>0.39823742593811734</v>
      </c>
      <c r="N27" s="58">
        <v>7.4151808709677454</v>
      </c>
      <c r="O27" s="58" t="s">
        <v>25</v>
      </c>
      <c r="P27" s="58">
        <v>96.2</v>
      </c>
      <c r="Q27" s="58">
        <v>1.7912440000000001</v>
      </c>
      <c r="R27" s="58">
        <v>0.71334039978709707</v>
      </c>
      <c r="S27" s="58">
        <v>2019</v>
      </c>
      <c r="T27" s="58">
        <v>96.2</v>
      </c>
      <c r="U27" s="58">
        <v>1.7912440000000001</v>
      </c>
      <c r="V27" s="58">
        <v>1.7912440000000001</v>
      </c>
      <c r="W27" s="58">
        <v>1.077903600212903</v>
      </c>
      <c r="X27" s="59">
        <v>45515</v>
      </c>
      <c r="Y27" s="58">
        <v>2024</v>
      </c>
      <c r="Z27" s="58" t="s">
        <v>164</v>
      </c>
      <c r="AA27" s="58"/>
      <c r="AB27" s="58">
        <v>2036</v>
      </c>
      <c r="AC27" s="58"/>
    </row>
    <row r="28" spans="1:29" x14ac:dyDescent="0.25">
      <c r="A28" s="58" t="s">
        <v>231</v>
      </c>
      <c r="B28" s="58" t="s">
        <v>332</v>
      </c>
      <c r="C28" s="58" t="s">
        <v>47</v>
      </c>
      <c r="D28" s="58" t="s">
        <v>50</v>
      </c>
      <c r="E28" s="58" t="s">
        <v>24</v>
      </c>
      <c r="F28" s="59">
        <v>40050</v>
      </c>
      <c r="G28" s="58">
        <v>2009</v>
      </c>
      <c r="H28" s="58">
        <v>9.1999999999999993</v>
      </c>
      <c r="I28" s="58">
        <v>1</v>
      </c>
      <c r="J28" s="58">
        <v>9.1999999999999993</v>
      </c>
      <c r="K28" s="58">
        <v>2746.0870144927535</v>
      </c>
      <c r="L28" s="58">
        <v>25.264000533333331</v>
      </c>
      <c r="M28" s="58">
        <v>0.38257662746949184</v>
      </c>
      <c r="N28" s="58">
        <v>9.665416120430109</v>
      </c>
      <c r="O28" s="58" t="s">
        <v>25</v>
      </c>
      <c r="P28" s="58">
        <v>92.3</v>
      </c>
      <c r="Q28" s="58">
        <v>2.3318672492266663</v>
      </c>
      <c r="R28" s="58">
        <v>0.892117907915699</v>
      </c>
      <c r="S28" s="58">
        <v>2019</v>
      </c>
      <c r="T28" s="58">
        <v>71.275213869565249</v>
      </c>
      <c r="U28" s="58">
        <v>1.8006970412141436</v>
      </c>
      <c r="V28" s="58">
        <v>2.1286539424329667</v>
      </c>
      <c r="W28" s="58">
        <v>1.111792440092144</v>
      </c>
      <c r="X28" s="59">
        <v>45528</v>
      </c>
      <c r="Y28" s="58">
        <v>2024</v>
      </c>
      <c r="Z28" s="58" t="s">
        <v>165</v>
      </c>
      <c r="AA28" s="58" t="s">
        <v>178</v>
      </c>
      <c r="AB28" s="58"/>
      <c r="AC28" s="58"/>
    </row>
    <row r="29" spans="1:29" x14ac:dyDescent="0.25">
      <c r="A29" s="58" t="s">
        <v>232</v>
      </c>
      <c r="B29" s="58" t="s">
        <v>333</v>
      </c>
      <c r="C29" s="58" t="s">
        <v>47</v>
      </c>
      <c r="D29" s="58" t="s">
        <v>51</v>
      </c>
      <c r="E29" s="58" t="s">
        <v>24</v>
      </c>
      <c r="F29" s="59">
        <v>40074</v>
      </c>
      <c r="G29" s="58">
        <v>2009</v>
      </c>
      <c r="H29" s="58">
        <v>4.5999999999999996</v>
      </c>
      <c r="I29" s="58">
        <v>1</v>
      </c>
      <c r="J29" s="58">
        <v>4.5999999999999996</v>
      </c>
      <c r="K29" s="58">
        <v>2746.0870144927535</v>
      </c>
      <c r="L29" s="58">
        <v>12.632000266666665</v>
      </c>
      <c r="M29" s="58">
        <v>0.33035447898766152</v>
      </c>
      <c r="N29" s="58">
        <v>4.1730378666666672</v>
      </c>
      <c r="O29" s="58" t="s">
        <v>25</v>
      </c>
      <c r="P29" s="58">
        <v>92.3</v>
      </c>
      <c r="Q29" s="58">
        <v>1.1659336246133332</v>
      </c>
      <c r="R29" s="58">
        <v>0.38517139509333337</v>
      </c>
      <c r="S29" s="58">
        <v>2019</v>
      </c>
      <c r="T29" s="58">
        <v>71.275213869565249</v>
      </c>
      <c r="U29" s="58">
        <v>0.90034852060707182</v>
      </c>
      <c r="V29" s="58">
        <v>1.0781963959524608</v>
      </c>
      <c r="W29" s="58">
        <v>0.6029143541746107</v>
      </c>
      <c r="X29" s="59">
        <v>45552</v>
      </c>
      <c r="Y29" s="58">
        <v>2024</v>
      </c>
      <c r="Z29" s="58" t="s">
        <v>165</v>
      </c>
      <c r="AA29" s="58" t="s">
        <v>178</v>
      </c>
      <c r="AB29" s="58"/>
      <c r="AC29" s="58"/>
    </row>
    <row r="30" spans="1:29" x14ac:dyDescent="0.25">
      <c r="A30" s="58" t="s">
        <v>234</v>
      </c>
      <c r="B30" s="58" t="s">
        <v>52</v>
      </c>
      <c r="C30" s="58" t="s">
        <v>52</v>
      </c>
      <c r="D30" s="58" t="s">
        <v>53</v>
      </c>
      <c r="E30" s="58" t="s">
        <v>24</v>
      </c>
      <c r="F30" s="59">
        <v>40081</v>
      </c>
      <c r="G30" s="58">
        <v>2009</v>
      </c>
      <c r="H30" s="58">
        <v>10</v>
      </c>
      <c r="I30" s="58">
        <v>1</v>
      </c>
      <c r="J30" s="58">
        <v>10</v>
      </c>
      <c r="K30" s="58">
        <v>2188.8888888888891</v>
      </c>
      <c r="L30" s="58">
        <v>21.888888888888889</v>
      </c>
      <c r="M30" s="58">
        <v>0.31412567258883267</v>
      </c>
      <c r="N30" s="58">
        <v>6.8758619444444484</v>
      </c>
      <c r="O30" s="58" t="s">
        <v>25</v>
      </c>
      <c r="P30" s="58">
        <v>96.3</v>
      </c>
      <c r="Q30" s="58">
        <v>2.1078999999999999</v>
      </c>
      <c r="R30" s="58">
        <v>0.66214550525000038</v>
      </c>
      <c r="S30" s="58">
        <v>2019</v>
      </c>
      <c r="T30" s="58">
        <v>96.3</v>
      </c>
      <c r="U30" s="58">
        <v>2.1078999999999999</v>
      </c>
      <c r="V30" s="58">
        <v>2.1078999999999999</v>
      </c>
      <c r="W30" s="58">
        <v>1.4457544947499996</v>
      </c>
      <c r="X30" s="59">
        <v>45559</v>
      </c>
      <c r="Y30" s="58">
        <v>2024</v>
      </c>
      <c r="Z30" s="58" t="s">
        <v>165</v>
      </c>
      <c r="AA30" s="58" t="s">
        <v>169</v>
      </c>
      <c r="AB30" s="58"/>
      <c r="AC30" s="58"/>
    </row>
    <row r="31" spans="1:29" x14ac:dyDescent="0.25">
      <c r="A31" s="58" t="s">
        <v>236</v>
      </c>
      <c r="B31" s="58" t="s">
        <v>336</v>
      </c>
      <c r="C31" s="58" t="s">
        <v>210</v>
      </c>
      <c r="D31" s="58" t="s">
        <v>208</v>
      </c>
      <c r="E31" s="58" t="s">
        <v>24</v>
      </c>
      <c r="F31" s="59">
        <v>40095</v>
      </c>
      <c r="G31" s="58">
        <v>2009</v>
      </c>
      <c r="H31" s="58">
        <v>18</v>
      </c>
      <c r="I31" s="58">
        <v>1</v>
      </c>
      <c r="J31" s="58">
        <v>18</v>
      </c>
      <c r="K31" s="58">
        <v>2413.3333336666669</v>
      </c>
      <c r="L31" s="58">
        <v>43.440000006000005</v>
      </c>
      <c r="M31" s="58">
        <v>0.28590513018239599</v>
      </c>
      <c r="N31" s="58">
        <v>12.419718856838715</v>
      </c>
      <c r="O31" s="58" t="s">
        <v>25</v>
      </c>
      <c r="P31" s="58">
        <v>96.5</v>
      </c>
      <c r="Q31" s="58">
        <v>4.1919600005790008</v>
      </c>
      <c r="R31" s="58">
        <v>1.198502869684936</v>
      </c>
      <c r="S31" s="58">
        <v>2019</v>
      </c>
      <c r="T31" s="58">
        <v>95.549999976250007</v>
      </c>
      <c r="U31" s="58">
        <v>4.1506919995416007</v>
      </c>
      <c r="V31" s="58">
        <v>4.1801612673700346</v>
      </c>
      <c r="W31" s="58">
        <v>2.96398786306563</v>
      </c>
      <c r="X31" s="59">
        <v>45573</v>
      </c>
      <c r="Y31" s="58">
        <v>2024</v>
      </c>
      <c r="Z31" s="58" t="s">
        <v>165</v>
      </c>
      <c r="AA31" s="58">
        <v>2027</v>
      </c>
      <c r="AB31" s="58"/>
      <c r="AC31" s="58" t="s">
        <v>170</v>
      </c>
    </row>
    <row r="32" spans="1:29" x14ac:dyDescent="0.25">
      <c r="A32" s="58" t="s">
        <v>235</v>
      </c>
      <c r="B32" s="58" t="s">
        <v>337</v>
      </c>
      <c r="C32" s="58" t="s">
        <v>210</v>
      </c>
      <c r="D32" s="58" t="s">
        <v>209</v>
      </c>
      <c r="E32" s="58"/>
      <c r="F32" s="59"/>
      <c r="G32" s="58"/>
      <c r="H32" s="58"/>
      <c r="I32" s="58">
        <v>1</v>
      </c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9"/>
      <c r="Y32" s="58"/>
      <c r="Z32" s="58"/>
      <c r="AA32" s="58"/>
      <c r="AB32" s="58"/>
      <c r="AC32" s="58"/>
    </row>
    <row r="33" spans="1:29" x14ac:dyDescent="0.25">
      <c r="A33" s="58" t="s">
        <v>237</v>
      </c>
      <c r="B33" s="58" t="s">
        <v>338</v>
      </c>
      <c r="C33" s="58"/>
      <c r="D33" s="58" t="s">
        <v>57</v>
      </c>
      <c r="E33" s="58" t="s">
        <v>24</v>
      </c>
      <c r="F33" s="59">
        <v>40149</v>
      </c>
      <c r="G33" s="58">
        <v>2009</v>
      </c>
      <c r="H33" s="58">
        <v>12</v>
      </c>
      <c r="I33" s="58">
        <v>1</v>
      </c>
      <c r="J33" s="58">
        <v>12</v>
      </c>
      <c r="K33" s="58">
        <v>2413.3333336666665</v>
      </c>
      <c r="L33" s="58">
        <v>28.960000003999998</v>
      </c>
      <c r="M33" s="58">
        <v>0.11116218132487067</v>
      </c>
      <c r="N33" s="58">
        <v>3.219256771612903</v>
      </c>
      <c r="O33" s="58" t="s">
        <v>25</v>
      </c>
      <c r="P33" s="58">
        <v>96.5</v>
      </c>
      <c r="Q33" s="58">
        <v>2.7946400003859999</v>
      </c>
      <c r="R33" s="58">
        <v>0.31065827846064514</v>
      </c>
      <c r="S33" s="58">
        <v>2019</v>
      </c>
      <c r="T33" s="58">
        <v>95.549999976250035</v>
      </c>
      <c r="U33" s="58">
        <v>2.7671279996944009</v>
      </c>
      <c r="V33" s="58">
        <v>2.7915817063765105</v>
      </c>
      <c r="W33" s="58">
        <v>2.459528015243245</v>
      </c>
      <c r="X33" s="59">
        <v>45627</v>
      </c>
      <c r="Y33" s="58">
        <v>2024</v>
      </c>
      <c r="Z33" s="58" t="s">
        <v>165</v>
      </c>
      <c r="AA33" s="58">
        <v>2027</v>
      </c>
      <c r="AB33" s="58"/>
      <c r="AC33" s="58" t="s">
        <v>170</v>
      </c>
    </row>
    <row r="34" spans="1:29" x14ac:dyDescent="0.25">
      <c r="A34" s="58" t="s">
        <v>238</v>
      </c>
      <c r="B34" s="58" t="s">
        <v>339</v>
      </c>
      <c r="C34" s="58" t="s">
        <v>58</v>
      </c>
      <c r="D34" s="58" t="s">
        <v>58</v>
      </c>
      <c r="E34" s="58" t="s">
        <v>24</v>
      </c>
      <c r="F34" s="59">
        <v>40210</v>
      </c>
      <c r="G34" s="58">
        <v>2010</v>
      </c>
      <c r="H34" s="58">
        <v>4.5999999999999996</v>
      </c>
      <c r="I34" s="58">
        <v>1</v>
      </c>
      <c r="J34" s="58">
        <v>4.5999999999999996</v>
      </c>
      <c r="K34" s="58">
        <v>2652.173695652174</v>
      </c>
      <c r="L34" s="58">
        <v>12.199999</v>
      </c>
      <c r="M34" s="58">
        <v>0.88636035368293298</v>
      </c>
      <c r="N34" s="58">
        <v>10.813595428571428</v>
      </c>
      <c r="O34" s="58" t="s">
        <v>25</v>
      </c>
      <c r="P34" s="58">
        <v>96.5</v>
      </c>
      <c r="Q34" s="58">
        <v>1.1772999035</v>
      </c>
      <c r="R34" s="58">
        <v>1.0435119588571429</v>
      </c>
      <c r="S34" s="58">
        <v>2020</v>
      </c>
      <c r="T34" s="58">
        <v>78.532624184782605</v>
      </c>
      <c r="U34" s="58">
        <v>0.95809793652172359</v>
      </c>
      <c r="V34" s="58">
        <v>0.98300797052114031</v>
      </c>
      <c r="W34" s="58">
        <v>0.10887791064344042</v>
      </c>
      <c r="X34" s="59">
        <v>45688</v>
      </c>
      <c r="Y34" s="58">
        <v>2025</v>
      </c>
      <c r="Z34" s="58" t="s">
        <v>165</v>
      </c>
      <c r="AA34" s="58" t="s">
        <v>169</v>
      </c>
      <c r="AB34" s="58"/>
      <c r="AC34" s="58"/>
    </row>
    <row r="35" spans="1:29" x14ac:dyDescent="0.25">
      <c r="A35" s="58" t="s">
        <v>239</v>
      </c>
      <c r="B35" s="58" t="s">
        <v>334</v>
      </c>
      <c r="C35" s="58" t="s">
        <v>59</v>
      </c>
      <c r="D35" s="58" t="s">
        <v>60</v>
      </c>
      <c r="E35" s="58" t="s">
        <v>24</v>
      </c>
      <c r="F35" s="59">
        <v>40211</v>
      </c>
      <c r="G35" s="58">
        <v>2010</v>
      </c>
      <c r="H35" s="58">
        <v>11.5</v>
      </c>
      <c r="I35" s="58">
        <v>1</v>
      </c>
      <c r="J35" s="58">
        <v>11.5</v>
      </c>
      <c r="K35" s="58">
        <v>2746.0870144927535</v>
      </c>
      <c r="L35" s="58">
        <v>31.580000666666667</v>
      </c>
      <c r="M35" s="58">
        <v>0.87530396234166363</v>
      </c>
      <c r="N35" s="58">
        <v>27.642099714285713</v>
      </c>
      <c r="O35" s="58" t="s">
        <v>25</v>
      </c>
      <c r="P35" s="58">
        <v>92.3</v>
      </c>
      <c r="Q35" s="58">
        <v>2.914834061533333</v>
      </c>
      <c r="R35" s="58">
        <v>2.5513658036285709</v>
      </c>
      <c r="S35" s="58">
        <v>2020</v>
      </c>
      <c r="T35" s="58">
        <v>71.275213869565249</v>
      </c>
      <c r="U35" s="58">
        <v>2.2508713015176798</v>
      </c>
      <c r="V35" s="58">
        <v>2.3336648268443247</v>
      </c>
      <c r="W35" s="58">
        <v>0.28067473257811715</v>
      </c>
      <c r="X35" s="59">
        <v>45689</v>
      </c>
      <c r="Y35" s="58">
        <v>2025</v>
      </c>
      <c r="Z35" s="58" t="s">
        <v>165</v>
      </c>
      <c r="AA35" s="58" t="s">
        <v>178</v>
      </c>
      <c r="AB35" s="58"/>
      <c r="AC35" s="58"/>
    </row>
    <row r="36" spans="1:29" x14ac:dyDescent="0.25">
      <c r="A36" s="58" t="s">
        <v>240</v>
      </c>
      <c r="B36" s="58" t="s">
        <v>335</v>
      </c>
      <c r="C36" s="58" t="s">
        <v>61</v>
      </c>
      <c r="D36" s="58" t="s">
        <v>62</v>
      </c>
      <c r="E36" s="58" t="s">
        <v>24</v>
      </c>
      <c r="F36" s="59">
        <v>40226</v>
      </c>
      <c r="G36" s="58">
        <v>2010</v>
      </c>
      <c r="H36" s="58">
        <v>8</v>
      </c>
      <c r="I36" s="58">
        <v>1</v>
      </c>
      <c r="J36" s="58">
        <v>8</v>
      </c>
      <c r="K36" s="58">
        <v>2188.8888888888891</v>
      </c>
      <c r="L36" s="58">
        <v>17.511111111111113</v>
      </c>
      <c r="M36" s="58">
        <v>0.81630849891225532</v>
      </c>
      <c r="N36" s="58">
        <v>14.294468825396828</v>
      </c>
      <c r="O36" s="58" t="s">
        <v>25</v>
      </c>
      <c r="P36" s="58">
        <v>96.3</v>
      </c>
      <c r="Q36" s="58">
        <v>1.6863200000000003</v>
      </c>
      <c r="R36" s="58">
        <v>1.3765573478857145</v>
      </c>
      <c r="S36" s="58">
        <v>2020</v>
      </c>
      <c r="T36" s="58">
        <v>96.3</v>
      </c>
      <c r="U36" s="58">
        <v>1.6863200000000003</v>
      </c>
      <c r="V36" s="58">
        <v>1.6863200000000003</v>
      </c>
      <c r="W36" s="58">
        <v>0.30976265211428555</v>
      </c>
      <c r="X36" s="59">
        <v>45704</v>
      </c>
      <c r="Y36" s="58">
        <v>2025</v>
      </c>
      <c r="Z36" s="58" t="s">
        <v>165</v>
      </c>
      <c r="AA36" s="58" t="s">
        <v>169</v>
      </c>
      <c r="AB36" s="58"/>
      <c r="AC36" s="58"/>
    </row>
    <row r="37" spans="1:29" x14ac:dyDescent="0.25">
      <c r="A37" s="58"/>
      <c r="B37" s="58"/>
      <c r="C37" s="60" t="s">
        <v>63</v>
      </c>
      <c r="D37" s="60" t="s">
        <v>63</v>
      </c>
      <c r="E37" s="58" t="s">
        <v>24</v>
      </c>
      <c r="F37" s="59">
        <v>40269</v>
      </c>
      <c r="G37" s="58">
        <v>2010</v>
      </c>
      <c r="H37" s="58">
        <v>10</v>
      </c>
      <c r="I37" s="58">
        <v>1</v>
      </c>
      <c r="J37" s="58">
        <v>10</v>
      </c>
      <c r="K37" s="58">
        <v>1602.0000999999997</v>
      </c>
      <c r="L37" s="58">
        <v>16.020000999999997</v>
      </c>
      <c r="M37" s="58">
        <v>0.69318712069160715</v>
      </c>
      <c r="N37" s="58">
        <v>11.104858366666665</v>
      </c>
      <c r="O37" s="58" t="s">
        <v>25</v>
      </c>
      <c r="P37" s="58">
        <v>96.3</v>
      </c>
      <c r="Q37" s="58">
        <v>1.5427260962999996</v>
      </c>
      <c r="R37" s="58">
        <v>1.0693978607099999</v>
      </c>
      <c r="S37" s="58">
        <v>2020</v>
      </c>
      <c r="T37" s="58">
        <v>96.3</v>
      </c>
      <c r="U37" s="58">
        <v>1.5427260962999996</v>
      </c>
      <c r="V37" s="58">
        <v>1.5427260962999996</v>
      </c>
      <c r="W37" s="58">
        <v>0.47332823558999987</v>
      </c>
      <c r="X37" s="59">
        <v>45747</v>
      </c>
      <c r="Y37" s="58">
        <v>2025</v>
      </c>
      <c r="Z37" s="58" t="s">
        <v>171</v>
      </c>
      <c r="AA37" s="58"/>
      <c r="AB37" s="58"/>
      <c r="AC37" s="58"/>
    </row>
    <row r="38" spans="1:29" x14ac:dyDescent="0.25">
      <c r="A38" s="58" t="s">
        <v>241</v>
      </c>
      <c r="B38" s="58" t="s">
        <v>187</v>
      </c>
      <c r="C38" s="58" t="s">
        <v>64</v>
      </c>
      <c r="D38" s="58" t="s">
        <v>187</v>
      </c>
      <c r="E38" s="58" t="s">
        <v>24</v>
      </c>
      <c r="F38" s="59">
        <v>40391</v>
      </c>
      <c r="G38" s="58">
        <v>2010</v>
      </c>
      <c r="H38" s="58">
        <v>18</v>
      </c>
      <c r="I38" s="58">
        <v>1</v>
      </c>
      <c r="J38" s="58">
        <v>18</v>
      </c>
      <c r="K38" s="58">
        <v>2116.6666999999998</v>
      </c>
      <c r="L38" s="58">
        <v>38.100000600000001</v>
      </c>
      <c r="M38" s="58">
        <v>0.42677532474979168</v>
      </c>
      <c r="N38" s="58">
        <v>16.260140129032258</v>
      </c>
      <c r="O38" s="58" t="s">
        <v>25</v>
      </c>
      <c r="P38" s="58">
        <v>95.3</v>
      </c>
      <c r="Q38" s="58">
        <v>3.6309300571800001</v>
      </c>
      <c r="R38" s="58">
        <v>1.5495913542967741</v>
      </c>
      <c r="S38" s="58">
        <v>2020</v>
      </c>
      <c r="T38" s="58">
        <v>95.3</v>
      </c>
      <c r="U38" s="58">
        <v>3.6309300571800001</v>
      </c>
      <c r="V38" s="58">
        <v>3.6309300571800005</v>
      </c>
      <c r="W38" s="58">
        <v>2.081338702883226</v>
      </c>
      <c r="X38" s="59">
        <v>45869</v>
      </c>
      <c r="Y38" s="58">
        <v>2025</v>
      </c>
      <c r="Z38" s="58" t="s">
        <v>165</v>
      </c>
      <c r="AA38" s="58">
        <v>2026</v>
      </c>
      <c r="AB38" s="58"/>
      <c r="AC38" s="58"/>
    </row>
    <row r="39" spans="1:29" x14ac:dyDescent="0.25">
      <c r="A39" s="58" t="s">
        <v>242</v>
      </c>
      <c r="B39" s="58" t="s">
        <v>188</v>
      </c>
      <c r="C39" s="58"/>
      <c r="D39" s="58" t="s">
        <v>188</v>
      </c>
      <c r="E39" s="58" t="s">
        <v>24</v>
      </c>
      <c r="F39" s="59"/>
      <c r="G39" s="58"/>
      <c r="H39" s="58"/>
      <c r="I39" s="58">
        <v>1</v>
      </c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9"/>
      <c r="Y39" s="58"/>
      <c r="Z39" s="58"/>
      <c r="AA39" s="58"/>
      <c r="AB39" s="58"/>
      <c r="AC39" s="58"/>
    </row>
    <row r="40" spans="1:29" x14ac:dyDescent="0.25">
      <c r="A40" s="58" t="s">
        <v>243</v>
      </c>
      <c r="B40" s="61" t="s">
        <v>189</v>
      </c>
      <c r="C40" s="58" t="s">
        <v>66</v>
      </c>
      <c r="D40" s="58" t="s">
        <v>189</v>
      </c>
      <c r="E40" s="58" t="s">
        <v>24</v>
      </c>
      <c r="F40" s="59">
        <v>40392</v>
      </c>
      <c r="G40" s="58">
        <v>2010</v>
      </c>
      <c r="H40" s="58">
        <v>24</v>
      </c>
      <c r="I40" s="58">
        <v>1</v>
      </c>
      <c r="J40" s="58">
        <v>24</v>
      </c>
      <c r="K40" s="58">
        <v>1757.1428575</v>
      </c>
      <c r="L40" s="58">
        <v>42.171428579999997</v>
      </c>
      <c r="M40" s="58">
        <v>0.42183075852952573</v>
      </c>
      <c r="N40" s="58">
        <v>17.789205706175117</v>
      </c>
      <c r="O40" s="58" t="s">
        <v>25</v>
      </c>
      <c r="P40" s="58">
        <v>94.6</v>
      </c>
      <c r="Q40" s="58">
        <v>3.9894171436679993</v>
      </c>
      <c r="R40" s="58">
        <v>1.6828588598041661</v>
      </c>
      <c r="S40" s="58">
        <v>2020</v>
      </c>
      <c r="T40" s="58">
        <v>94.6</v>
      </c>
      <c r="U40" s="58">
        <v>3.9894171436679993</v>
      </c>
      <c r="V40" s="58">
        <v>3.9894171436679993</v>
      </c>
      <c r="W40" s="58">
        <v>2.3065582838638332</v>
      </c>
      <c r="X40" s="59">
        <v>45870</v>
      </c>
      <c r="Y40" s="58">
        <v>2025</v>
      </c>
      <c r="Z40" s="58" t="s">
        <v>179</v>
      </c>
      <c r="AA40" s="58"/>
      <c r="AB40" s="58"/>
      <c r="AC40" s="58"/>
    </row>
    <row r="41" spans="1:29" x14ac:dyDescent="0.25">
      <c r="A41" s="58" t="s">
        <v>244</v>
      </c>
      <c r="B41" s="58" t="s">
        <v>190</v>
      </c>
      <c r="C41" s="58"/>
      <c r="D41" s="58" t="s">
        <v>190</v>
      </c>
      <c r="E41" s="58" t="s">
        <v>24</v>
      </c>
      <c r="F41" s="59"/>
      <c r="G41" s="58"/>
      <c r="H41" s="58"/>
      <c r="I41" s="58">
        <v>1</v>
      </c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9"/>
      <c r="Y41" s="58"/>
      <c r="Z41" s="58"/>
      <c r="AA41" s="58"/>
      <c r="AB41" s="58"/>
      <c r="AC41" s="58"/>
    </row>
    <row r="42" spans="1:29" x14ac:dyDescent="0.25">
      <c r="A42" s="58" t="s">
        <v>245</v>
      </c>
      <c r="B42" s="58" t="s">
        <v>340</v>
      </c>
      <c r="C42" s="58" t="s">
        <v>68</v>
      </c>
      <c r="D42" s="58" t="s">
        <v>68</v>
      </c>
      <c r="E42" s="58" t="s">
        <v>24</v>
      </c>
      <c r="F42" s="59">
        <v>40452</v>
      </c>
      <c r="G42" s="58">
        <v>2010</v>
      </c>
      <c r="H42" s="58">
        <v>9.1999999999999993</v>
      </c>
      <c r="I42" s="58">
        <v>1</v>
      </c>
      <c r="J42" s="58">
        <v>9.1999999999999993</v>
      </c>
      <c r="K42" s="58">
        <v>2130.4346739130438</v>
      </c>
      <c r="L42" s="58">
        <v>19.599999</v>
      </c>
      <c r="M42" s="58">
        <v>0.31662562346180756</v>
      </c>
      <c r="N42" s="58">
        <v>6.2058619032258049</v>
      </c>
      <c r="O42" s="58" t="s">
        <v>25</v>
      </c>
      <c r="P42" s="58">
        <v>95.2</v>
      </c>
      <c r="Q42" s="58">
        <v>1.8659199048000001</v>
      </c>
      <c r="R42" s="58">
        <v>0.59079805318709666</v>
      </c>
      <c r="S42" s="58">
        <v>2020</v>
      </c>
      <c r="T42" s="58">
        <v>95.2</v>
      </c>
      <c r="U42" s="58">
        <v>1.8659199048000001</v>
      </c>
      <c r="V42" s="58">
        <v>1.8659199048000004</v>
      </c>
      <c r="W42" s="58">
        <v>1.2751218516129033</v>
      </c>
      <c r="X42" s="59">
        <v>45930</v>
      </c>
      <c r="Y42" s="58">
        <v>2025</v>
      </c>
      <c r="Z42" s="58" t="s">
        <v>165</v>
      </c>
      <c r="AA42" s="58" t="s">
        <v>168</v>
      </c>
      <c r="AB42" s="58"/>
      <c r="AC42" s="58"/>
    </row>
    <row r="43" spans="1:29" x14ac:dyDescent="0.25">
      <c r="A43" s="58" t="s">
        <v>246</v>
      </c>
      <c r="B43" s="58" t="s">
        <v>341</v>
      </c>
      <c r="C43" s="58" t="s">
        <v>69</v>
      </c>
      <c r="D43" s="58" t="s">
        <v>69</v>
      </c>
      <c r="E43" s="58" t="s">
        <v>24</v>
      </c>
      <c r="F43" s="59">
        <v>40452</v>
      </c>
      <c r="G43" s="58">
        <v>2010</v>
      </c>
      <c r="H43" s="58">
        <v>10</v>
      </c>
      <c r="I43" s="58">
        <v>1</v>
      </c>
      <c r="J43" s="58">
        <v>10</v>
      </c>
      <c r="K43" s="58">
        <v>2439.9998999999998</v>
      </c>
      <c r="L43" s="58">
        <v>24.399998999999998</v>
      </c>
      <c r="M43" s="58">
        <v>0.29878570764457546</v>
      </c>
      <c r="N43" s="58">
        <v>7.2903709677419331</v>
      </c>
      <c r="O43" s="58" t="s">
        <v>25</v>
      </c>
      <c r="P43" s="58">
        <v>95.2</v>
      </c>
      <c r="Q43" s="58">
        <v>2.3228799047999997</v>
      </c>
      <c r="R43" s="58">
        <v>0.69404331612903203</v>
      </c>
      <c r="S43" s="58">
        <v>2020</v>
      </c>
      <c r="T43" s="58">
        <v>92.480006799999984</v>
      </c>
      <c r="U43" s="58">
        <v>2.2565120734399926</v>
      </c>
      <c r="V43" s="58">
        <v>2.3030501453422643</v>
      </c>
      <c r="W43" s="58">
        <v>1.5822985167686963</v>
      </c>
      <c r="X43" s="59">
        <v>45930</v>
      </c>
      <c r="Y43" s="58">
        <v>2025</v>
      </c>
      <c r="Z43" s="58" t="s">
        <v>165</v>
      </c>
      <c r="AA43" s="58">
        <v>2026</v>
      </c>
      <c r="AB43" s="58"/>
      <c r="AC43" s="58"/>
    </row>
    <row r="44" spans="1:29" x14ac:dyDescent="0.25">
      <c r="A44" s="58" t="s">
        <v>247</v>
      </c>
      <c r="B44" s="58" t="s">
        <v>70</v>
      </c>
      <c r="C44" s="58" t="s">
        <v>64</v>
      </c>
      <c r="D44" s="58" t="s">
        <v>70</v>
      </c>
      <c r="E44" s="58" t="s">
        <v>24</v>
      </c>
      <c r="F44" s="59">
        <v>40452</v>
      </c>
      <c r="G44" s="58">
        <v>2010</v>
      </c>
      <c r="H44" s="58">
        <v>12</v>
      </c>
      <c r="I44" s="58">
        <v>1</v>
      </c>
      <c r="J44" s="58">
        <v>12</v>
      </c>
      <c r="K44" s="58">
        <v>2116.6667000000007</v>
      </c>
      <c r="L44" s="58">
        <v>25.400000400000007</v>
      </c>
      <c r="M44" s="58">
        <v>0.30960687650606405</v>
      </c>
      <c r="N44" s="58">
        <v>7.8640147870967798</v>
      </c>
      <c r="O44" s="58" t="s">
        <v>25</v>
      </c>
      <c r="P44" s="58">
        <v>95.3</v>
      </c>
      <c r="Q44" s="58">
        <v>2.4206200381200005</v>
      </c>
      <c r="R44" s="58">
        <v>0.74944060921032318</v>
      </c>
      <c r="S44" s="58">
        <v>2020</v>
      </c>
      <c r="T44" s="58">
        <v>95.3</v>
      </c>
      <c r="U44" s="58">
        <v>2.4206200381200005</v>
      </c>
      <c r="V44" s="58">
        <v>2.4206200381200005</v>
      </c>
      <c r="W44" s="58">
        <v>1.6711794289096775</v>
      </c>
      <c r="X44" s="59">
        <v>45930</v>
      </c>
      <c r="Y44" s="58">
        <v>2025</v>
      </c>
      <c r="Z44" s="58" t="s">
        <v>165</v>
      </c>
      <c r="AA44" s="58">
        <v>2026</v>
      </c>
      <c r="AB44" s="58"/>
      <c r="AC44" s="58"/>
    </row>
    <row r="45" spans="1:29" x14ac:dyDescent="0.25">
      <c r="A45" s="58" t="s">
        <v>248</v>
      </c>
      <c r="B45" s="58" t="s">
        <v>342</v>
      </c>
      <c r="C45" s="58" t="s">
        <v>71</v>
      </c>
      <c r="D45" s="58" t="s">
        <v>71</v>
      </c>
      <c r="E45" s="58" t="s">
        <v>24</v>
      </c>
      <c r="F45" s="59">
        <v>40623</v>
      </c>
      <c r="G45" s="58">
        <v>2011</v>
      </c>
      <c r="H45" s="58">
        <v>8</v>
      </c>
      <c r="I45" s="58">
        <v>1</v>
      </c>
      <c r="J45" s="58">
        <v>8</v>
      </c>
      <c r="K45" s="58">
        <v>1904.999875</v>
      </c>
      <c r="L45" s="58">
        <v>15.239998999999999</v>
      </c>
      <c r="M45" s="58">
        <v>0.71502789172353021</v>
      </c>
      <c r="N45" s="58">
        <v>10.897024354838708</v>
      </c>
      <c r="O45" s="58" t="s">
        <v>25</v>
      </c>
      <c r="P45" s="58">
        <v>93.9</v>
      </c>
      <c r="Q45" s="58">
        <v>1.4310359061</v>
      </c>
      <c r="R45" s="58">
        <v>1.0232305869193548</v>
      </c>
      <c r="S45" s="58">
        <v>2021</v>
      </c>
      <c r="T45" s="58">
        <v>93.9</v>
      </c>
      <c r="U45" s="58">
        <v>1.4310359061</v>
      </c>
      <c r="V45" s="58">
        <v>1.4310359061</v>
      </c>
      <c r="W45" s="58">
        <v>0.40780531918064533</v>
      </c>
      <c r="X45" s="59">
        <v>46101</v>
      </c>
      <c r="Y45" s="58">
        <v>2026</v>
      </c>
      <c r="Z45" s="58" t="s">
        <v>165</v>
      </c>
      <c r="AA45" s="58">
        <v>2027</v>
      </c>
      <c r="AB45" s="58"/>
      <c r="AC45" s="58"/>
    </row>
    <row r="46" spans="1:29" x14ac:dyDescent="0.25">
      <c r="A46" s="58" t="s">
        <v>249</v>
      </c>
      <c r="B46" s="58" t="s">
        <v>343</v>
      </c>
      <c r="C46" s="58" t="s">
        <v>72</v>
      </c>
      <c r="D46" s="58" t="s">
        <v>72</v>
      </c>
      <c r="E46" s="58" t="s">
        <v>73</v>
      </c>
      <c r="F46" s="59">
        <v>40709</v>
      </c>
      <c r="G46" s="58">
        <v>2011</v>
      </c>
      <c r="H46" s="58">
        <v>4.5</v>
      </c>
      <c r="I46" s="58">
        <v>1</v>
      </c>
      <c r="J46" s="58">
        <v>4.5</v>
      </c>
      <c r="K46" s="58">
        <v>1334.5777777777776</v>
      </c>
      <c r="L46" s="58">
        <v>6.0055999999999985</v>
      </c>
      <c r="M46" s="58">
        <v>0.54733915012654843</v>
      </c>
      <c r="N46" s="58">
        <v>3.2870999999999984</v>
      </c>
      <c r="O46" s="58" t="s">
        <v>25</v>
      </c>
      <c r="P46" s="58">
        <v>337.2</v>
      </c>
      <c r="Q46" s="58">
        <v>2.0250883199999992</v>
      </c>
      <c r="R46" s="58">
        <v>1.1084101199999994</v>
      </c>
      <c r="S46" s="58">
        <v>2031</v>
      </c>
      <c r="T46" s="58">
        <v>337.2</v>
      </c>
      <c r="U46" s="58">
        <v>2.0250883199999992</v>
      </c>
      <c r="V46" s="58">
        <v>2.0250883199999992</v>
      </c>
      <c r="W46" s="58">
        <v>0.91667820000000011</v>
      </c>
      <c r="X46" s="59">
        <v>48013</v>
      </c>
      <c r="Y46" s="58">
        <v>2031</v>
      </c>
      <c r="Z46" s="58"/>
      <c r="AA46" s="58"/>
      <c r="AB46" s="58"/>
      <c r="AC46" s="58"/>
    </row>
    <row r="47" spans="1:29" x14ac:dyDescent="0.25">
      <c r="A47" s="58" t="s">
        <v>345</v>
      </c>
      <c r="B47" s="58" t="s">
        <v>346</v>
      </c>
      <c r="C47" s="58" t="s">
        <v>74</v>
      </c>
      <c r="D47" s="58" t="s">
        <v>181</v>
      </c>
      <c r="E47" s="58" t="s">
        <v>24</v>
      </c>
      <c r="F47" s="59">
        <v>40725</v>
      </c>
      <c r="G47" s="58">
        <v>2011</v>
      </c>
      <c r="H47" s="58">
        <v>36</v>
      </c>
      <c r="I47" s="58">
        <v>1</v>
      </c>
      <c r="J47" s="58">
        <v>36</v>
      </c>
      <c r="K47" s="58">
        <v>2127.7777775</v>
      </c>
      <c r="L47" s="58">
        <v>76.599999990000001</v>
      </c>
      <c r="M47" s="58">
        <v>0.46391435332005954</v>
      </c>
      <c r="N47" s="58">
        <v>35.535839459677419</v>
      </c>
      <c r="O47" s="58" t="s">
        <v>25</v>
      </c>
      <c r="P47" s="58">
        <v>92.7</v>
      </c>
      <c r="Q47" s="58">
        <v>7.1008199990729999</v>
      </c>
      <c r="R47" s="58">
        <v>3.2941723179120967</v>
      </c>
      <c r="S47" s="58">
        <v>2021</v>
      </c>
      <c r="T47" s="58">
        <v>92.7</v>
      </c>
      <c r="U47" s="58">
        <v>7.1008199990729999</v>
      </c>
      <c r="V47" s="58">
        <v>7.100819999072999</v>
      </c>
      <c r="W47" s="58">
        <v>3.8066476811609036</v>
      </c>
      <c r="X47" s="59">
        <v>46203</v>
      </c>
      <c r="Y47" s="58">
        <v>2026</v>
      </c>
      <c r="Z47" s="58"/>
      <c r="AA47" s="58"/>
      <c r="AB47" s="58"/>
      <c r="AC47" s="58"/>
    </row>
    <row r="48" spans="1:29" x14ac:dyDescent="0.25">
      <c r="A48" s="58" t="s">
        <v>250</v>
      </c>
      <c r="B48" s="58" t="s">
        <v>344</v>
      </c>
      <c r="C48" s="58"/>
      <c r="D48" s="58" t="s">
        <v>182</v>
      </c>
      <c r="E48" s="58" t="s">
        <v>24</v>
      </c>
      <c r="F48" s="59"/>
      <c r="G48" s="58"/>
      <c r="H48" s="58"/>
      <c r="I48" s="58">
        <v>1</v>
      </c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9"/>
      <c r="Y48" s="58"/>
      <c r="Z48" s="58"/>
      <c r="AA48" s="58"/>
      <c r="AB48" s="58"/>
      <c r="AC48" s="58"/>
    </row>
    <row r="49" spans="1:29" x14ac:dyDescent="0.25">
      <c r="A49" s="58" t="s">
        <v>347</v>
      </c>
      <c r="B49" s="58" t="s">
        <v>348</v>
      </c>
      <c r="C49" s="58"/>
      <c r="D49" s="58" t="s">
        <v>191</v>
      </c>
      <c r="E49" s="58" t="s">
        <v>24</v>
      </c>
      <c r="F49" s="59"/>
      <c r="G49" s="58"/>
      <c r="H49" s="58"/>
      <c r="I49" s="58">
        <v>1</v>
      </c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9"/>
      <c r="Y49" s="58"/>
      <c r="Z49" s="58"/>
      <c r="AA49" s="58"/>
      <c r="AB49" s="58"/>
      <c r="AC49" s="58"/>
    </row>
    <row r="50" spans="1:29" x14ac:dyDescent="0.25">
      <c r="A50" s="58" t="s">
        <v>251</v>
      </c>
      <c r="B50" s="58" t="s">
        <v>76</v>
      </c>
      <c r="C50" s="58" t="s">
        <v>76</v>
      </c>
      <c r="D50" s="58" t="s">
        <v>76</v>
      </c>
      <c r="E50" s="58" t="s">
        <v>24</v>
      </c>
      <c r="F50" s="59">
        <v>40732</v>
      </c>
      <c r="G50" s="58">
        <v>2011</v>
      </c>
      <c r="H50" s="58">
        <v>10</v>
      </c>
      <c r="I50" s="58">
        <v>1</v>
      </c>
      <c r="J50" s="58">
        <v>10</v>
      </c>
      <c r="K50" s="58">
        <v>2344.0000999999997</v>
      </c>
      <c r="L50" s="58">
        <v>23.440000999999995</v>
      </c>
      <c r="M50" s="58">
        <v>0.46552240389849914</v>
      </c>
      <c r="N50" s="58">
        <v>10.911845612903221</v>
      </c>
      <c r="O50" s="58" t="s">
        <v>25</v>
      </c>
      <c r="P50" s="58">
        <v>87.8</v>
      </c>
      <c r="Q50" s="58">
        <v>2.0580320877999991</v>
      </c>
      <c r="R50" s="58">
        <v>0.95806004481290274</v>
      </c>
      <c r="S50" s="58">
        <v>2021</v>
      </c>
      <c r="T50" s="58">
        <v>87.8</v>
      </c>
      <c r="U50" s="58">
        <v>2.0580320877999991</v>
      </c>
      <c r="V50" s="58">
        <v>2.0580320877999996</v>
      </c>
      <c r="W50" s="58">
        <v>1.0999720429870967</v>
      </c>
      <c r="X50" s="59">
        <v>46210</v>
      </c>
      <c r="Y50" s="58">
        <v>2026</v>
      </c>
      <c r="Z50" s="58"/>
      <c r="AA50" s="58"/>
      <c r="AB50" s="58"/>
      <c r="AC50" s="58"/>
    </row>
    <row r="51" spans="1:29" x14ac:dyDescent="0.25">
      <c r="A51" s="58" t="s">
        <v>252</v>
      </c>
      <c r="B51" s="58" t="s">
        <v>349</v>
      </c>
      <c r="C51" s="58" t="s">
        <v>77</v>
      </c>
      <c r="D51" s="58" t="s">
        <v>193</v>
      </c>
      <c r="E51" s="58" t="s">
        <v>24</v>
      </c>
      <c r="F51" s="59">
        <v>40763</v>
      </c>
      <c r="G51" s="58">
        <v>2011</v>
      </c>
      <c r="H51" s="58">
        <v>18</v>
      </c>
      <c r="I51" s="58">
        <v>1</v>
      </c>
      <c r="J51" s="58">
        <v>18</v>
      </c>
      <c r="K51" s="58">
        <v>2282.7777772222225</v>
      </c>
      <c r="L51" s="58">
        <v>41.089999990000003</v>
      </c>
      <c r="M51" s="58">
        <v>0.39486653135321248</v>
      </c>
      <c r="N51" s="58">
        <v>16.225065769354835</v>
      </c>
      <c r="O51" s="58" t="s">
        <v>25</v>
      </c>
      <c r="P51" s="58">
        <v>92</v>
      </c>
      <c r="Q51" s="58">
        <v>3.7802799990800002</v>
      </c>
      <c r="R51" s="58">
        <v>1.4927060507806447</v>
      </c>
      <c r="S51" s="58">
        <v>2021</v>
      </c>
      <c r="T51" s="58">
        <v>92</v>
      </c>
      <c r="U51" s="58">
        <v>3.7802799990800002</v>
      </c>
      <c r="V51" s="58">
        <v>3.7802799990800002</v>
      </c>
      <c r="W51" s="58">
        <v>2.2875739482993556</v>
      </c>
      <c r="X51" s="59">
        <v>46241</v>
      </c>
      <c r="Y51" s="58">
        <v>2026</v>
      </c>
      <c r="Z51" s="58"/>
      <c r="AA51" s="58"/>
      <c r="AB51" s="58"/>
      <c r="AC51" s="58"/>
    </row>
    <row r="52" spans="1:29" x14ac:dyDescent="0.25">
      <c r="A52" s="58" t="s">
        <v>253</v>
      </c>
      <c r="B52" s="58" t="s">
        <v>350</v>
      </c>
      <c r="C52" s="58"/>
      <c r="D52" s="58" t="s">
        <v>192</v>
      </c>
      <c r="E52" s="58"/>
      <c r="F52" s="59"/>
      <c r="G52" s="58"/>
      <c r="H52" s="58"/>
      <c r="I52" s="58">
        <v>1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9"/>
      <c r="Y52" s="58"/>
      <c r="Z52" s="58"/>
      <c r="AA52" s="58"/>
      <c r="AB52" s="58"/>
      <c r="AC52" s="58"/>
    </row>
    <row r="53" spans="1:29" x14ac:dyDescent="0.25">
      <c r="A53" s="58" t="s">
        <v>254</v>
      </c>
      <c r="B53" s="58" t="s">
        <v>79</v>
      </c>
      <c r="C53" s="58" t="s">
        <v>79</v>
      </c>
      <c r="D53" s="58" t="s">
        <v>79</v>
      </c>
      <c r="E53" s="58" t="s">
        <v>24</v>
      </c>
      <c r="F53" s="59">
        <v>41381</v>
      </c>
      <c r="G53" s="58">
        <v>2013</v>
      </c>
      <c r="H53" s="58">
        <v>4</v>
      </c>
      <c r="I53" s="58">
        <v>1</v>
      </c>
      <c r="J53" s="58">
        <v>4</v>
      </c>
      <c r="K53" s="58">
        <v>1757.1428575000002</v>
      </c>
      <c r="L53" s="58">
        <v>7.0285714300000013</v>
      </c>
      <c r="M53" s="58">
        <v>0.63033015549519045</v>
      </c>
      <c r="N53" s="58">
        <v>4.4303205223809536</v>
      </c>
      <c r="O53" s="58" t="s">
        <v>25</v>
      </c>
      <c r="P53" s="58">
        <v>94.6</v>
      </c>
      <c r="Q53" s="58">
        <v>0.66490285727800003</v>
      </c>
      <c r="R53" s="58">
        <v>0.41910832141723819</v>
      </c>
      <c r="S53" s="58">
        <v>2023</v>
      </c>
      <c r="T53" s="58">
        <v>94.6</v>
      </c>
      <c r="U53" s="58">
        <v>0.66490285727800003</v>
      </c>
      <c r="V53" s="58">
        <v>0.66490285727800003</v>
      </c>
      <c r="W53" s="58">
        <v>0.24579453586076189</v>
      </c>
      <c r="X53" s="59">
        <v>46859</v>
      </c>
      <c r="Y53" s="58">
        <v>2028</v>
      </c>
      <c r="Z53" s="58"/>
      <c r="AA53" s="58"/>
      <c r="AB53" s="58"/>
      <c r="AC53" s="58"/>
    </row>
    <row r="54" spans="1:29" x14ac:dyDescent="0.25">
      <c r="A54" s="58" t="s">
        <v>255</v>
      </c>
      <c r="B54" s="58" t="s">
        <v>351</v>
      </c>
      <c r="C54" s="58" t="s">
        <v>80</v>
      </c>
      <c r="D54" s="58" t="s">
        <v>80</v>
      </c>
      <c r="E54" s="58" t="s">
        <v>24</v>
      </c>
      <c r="F54" s="59">
        <v>41532</v>
      </c>
      <c r="G54" s="58">
        <v>2013</v>
      </c>
      <c r="H54" s="58">
        <v>8</v>
      </c>
      <c r="I54" s="58">
        <v>1</v>
      </c>
      <c r="J54" s="58">
        <v>8</v>
      </c>
      <c r="K54" s="58">
        <v>2387.5</v>
      </c>
      <c r="L54" s="58">
        <v>19.100000000000001</v>
      </c>
      <c r="M54" s="58">
        <v>0.34134805709511484</v>
      </c>
      <c r="N54" s="58">
        <v>6.5197478905166939</v>
      </c>
      <c r="O54" s="58" t="s">
        <v>25</v>
      </c>
      <c r="P54" s="58">
        <v>88.6</v>
      </c>
      <c r="Q54" s="58">
        <v>1.6922600000000001</v>
      </c>
      <c r="R54" s="58">
        <v>0.57764966309977894</v>
      </c>
      <c r="S54" s="58">
        <v>2023</v>
      </c>
      <c r="T54" s="58">
        <v>88.6</v>
      </c>
      <c r="U54" s="58">
        <v>1.6922600000000001</v>
      </c>
      <c r="V54" s="58">
        <v>1.6922600000000001</v>
      </c>
      <c r="W54" s="58">
        <v>1.1146103369002209</v>
      </c>
      <c r="X54" s="59">
        <v>47010</v>
      </c>
      <c r="Y54" s="58">
        <v>2028</v>
      </c>
      <c r="Z54" s="58"/>
      <c r="AA54" s="58"/>
      <c r="AB54" s="58"/>
      <c r="AC54" s="58"/>
    </row>
    <row r="55" spans="1:29" x14ac:dyDescent="0.25">
      <c r="A55" s="58" t="s">
        <v>256</v>
      </c>
      <c r="B55" s="58" t="s">
        <v>352</v>
      </c>
      <c r="C55" s="58" t="s">
        <v>81</v>
      </c>
      <c r="D55" s="58" t="s">
        <v>194</v>
      </c>
      <c r="E55" s="58" t="s">
        <v>24</v>
      </c>
      <c r="F55" s="59">
        <v>41610</v>
      </c>
      <c r="G55" s="58">
        <v>2013</v>
      </c>
      <c r="H55" s="58">
        <v>32</v>
      </c>
      <c r="I55" s="58">
        <v>1</v>
      </c>
      <c r="J55" s="58">
        <v>32</v>
      </c>
      <c r="K55" s="58">
        <v>1982.8124374999998</v>
      </c>
      <c r="L55" s="58">
        <v>63.449997999999994</v>
      </c>
      <c r="M55" s="58">
        <v>0.10944305029892429</v>
      </c>
      <c r="N55" s="58">
        <v>6.9441613225806451</v>
      </c>
      <c r="O55" s="58" t="s">
        <v>25</v>
      </c>
      <c r="P55" s="58">
        <v>88.5</v>
      </c>
      <c r="Q55" s="58">
        <v>5.615324822999999</v>
      </c>
      <c r="R55" s="58">
        <v>0.61455827704838717</v>
      </c>
      <c r="S55" s="58">
        <v>2023</v>
      </c>
      <c r="T55" s="58">
        <v>88.5</v>
      </c>
      <c r="U55" s="58">
        <v>5.615324822999999</v>
      </c>
      <c r="V55" s="58">
        <v>5.615324822999999</v>
      </c>
      <c r="W55" s="58">
        <v>5.0007665459516124</v>
      </c>
      <c r="X55" s="59">
        <v>47088</v>
      </c>
      <c r="Y55" s="58">
        <v>2028</v>
      </c>
      <c r="Z55" s="58"/>
      <c r="AA55" s="58"/>
      <c r="AB55" s="58"/>
      <c r="AC55" s="58"/>
    </row>
    <row r="56" spans="1:29" x14ac:dyDescent="0.25">
      <c r="A56" s="58" t="s">
        <v>257</v>
      </c>
      <c r="B56" s="58" t="s">
        <v>314</v>
      </c>
      <c r="C56" s="58"/>
      <c r="D56" s="58" t="s">
        <v>195</v>
      </c>
      <c r="E56" s="58"/>
      <c r="F56" s="59"/>
      <c r="G56" s="58"/>
      <c r="H56" s="58"/>
      <c r="I56" s="58">
        <v>1</v>
      </c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9"/>
      <c r="Y56" s="58"/>
      <c r="Z56" s="58"/>
      <c r="AA56" s="58"/>
      <c r="AB56" s="58"/>
      <c r="AC56" s="58"/>
    </row>
    <row r="57" spans="1:29" x14ac:dyDescent="0.25">
      <c r="A57" s="58" t="s">
        <v>317</v>
      </c>
      <c r="B57" s="58" t="s">
        <v>315</v>
      </c>
      <c r="C57" s="58"/>
      <c r="D57" s="58" t="s">
        <v>196</v>
      </c>
      <c r="E57" s="58"/>
      <c r="F57" s="59"/>
      <c r="G57" s="58"/>
      <c r="H57" s="58"/>
      <c r="I57" s="58">
        <v>1</v>
      </c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9"/>
      <c r="Y57" s="58"/>
      <c r="Z57" s="58"/>
      <c r="AA57" s="58"/>
      <c r="AB57" s="58"/>
      <c r="AC57" s="58"/>
    </row>
    <row r="58" spans="1:29" x14ac:dyDescent="0.25">
      <c r="A58" s="58" t="s">
        <v>258</v>
      </c>
      <c r="B58" s="58" t="s">
        <v>316</v>
      </c>
      <c r="C58" s="58"/>
      <c r="D58" s="58" t="s">
        <v>197</v>
      </c>
      <c r="E58" s="58"/>
      <c r="F58" s="59"/>
      <c r="G58" s="58"/>
      <c r="H58" s="58"/>
      <c r="I58" s="58">
        <v>1</v>
      </c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9"/>
      <c r="Y58" s="58"/>
      <c r="Z58" s="58"/>
      <c r="AA58" s="58"/>
      <c r="AB58" s="58"/>
      <c r="AC58" s="58"/>
    </row>
    <row r="59" spans="1:29" x14ac:dyDescent="0.25">
      <c r="A59" s="58" t="s">
        <v>259</v>
      </c>
      <c r="B59" s="58" t="s">
        <v>353</v>
      </c>
      <c r="C59" s="58" t="s">
        <v>83</v>
      </c>
      <c r="D59" s="58" t="s">
        <v>83</v>
      </c>
      <c r="E59" s="58" t="s">
        <v>24</v>
      </c>
      <c r="F59" s="59">
        <v>41927</v>
      </c>
      <c r="G59" s="58">
        <v>2014</v>
      </c>
      <c r="H59" s="58">
        <v>11.4</v>
      </c>
      <c r="I59" s="58">
        <v>1</v>
      </c>
      <c r="J59" s="58">
        <v>11.4</v>
      </c>
      <c r="K59" s="58">
        <v>2372.8070175438593</v>
      </c>
      <c r="L59" s="58">
        <v>27.049999999999997</v>
      </c>
      <c r="M59" s="58">
        <v>0.262075398115512</v>
      </c>
      <c r="N59" s="58">
        <v>7.0891395190245987</v>
      </c>
      <c r="O59" s="58" t="s">
        <v>25</v>
      </c>
      <c r="P59" s="58">
        <v>88.1</v>
      </c>
      <c r="Q59" s="58">
        <v>2.3831049999999996</v>
      </c>
      <c r="R59" s="58">
        <v>0.62455319162606715</v>
      </c>
      <c r="S59" s="58">
        <v>2024</v>
      </c>
      <c r="T59" s="58">
        <v>88.1</v>
      </c>
      <c r="U59" s="58">
        <v>2.3831049999999996</v>
      </c>
      <c r="V59" s="58">
        <v>2.3831049999999996</v>
      </c>
      <c r="W59" s="58">
        <v>1.7585518083739324</v>
      </c>
      <c r="X59" s="59">
        <v>47405</v>
      </c>
      <c r="Y59" s="58">
        <v>2029</v>
      </c>
      <c r="Z59" s="58"/>
      <c r="AA59" s="58"/>
      <c r="AB59" s="58"/>
      <c r="AC59" s="58"/>
    </row>
    <row r="60" spans="1:29" x14ac:dyDescent="0.25">
      <c r="A60" s="58" t="s">
        <v>260</v>
      </c>
      <c r="B60" s="58" t="s">
        <v>355</v>
      </c>
      <c r="C60" s="58" t="s">
        <v>84</v>
      </c>
      <c r="D60" s="58" t="s">
        <v>84</v>
      </c>
      <c r="E60" s="58" t="s">
        <v>24</v>
      </c>
      <c r="F60" s="59">
        <v>41941</v>
      </c>
      <c r="G60" s="58">
        <v>2014</v>
      </c>
      <c r="H60" s="58">
        <v>8</v>
      </c>
      <c r="I60" s="58">
        <v>1</v>
      </c>
      <c r="J60" s="58">
        <v>8</v>
      </c>
      <c r="K60" s="58">
        <v>2328.7501249999996</v>
      </c>
      <c r="L60" s="58">
        <v>18.630000999999996</v>
      </c>
      <c r="M60" s="58">
        <v>0.22524288438257847</v>
      </c>
      <c r="N60" s="58">
        <v>4.1962751612903206</v>
      </c>
      <c r="O60" s="58" t="s">
        <v>25</v>
      </c>
      <c r="P60" s="58">
        <v>88.1</v>
      </c>
      <c r="Q60" s="58">
        <v>1.6413030880999995</v>
      </c>
      <c r="R60" s="58">
        <v>0.36969184170967723</v>
      </c>
      <c r="S60" s="58">
        <v>2024</v>
      </c>
      <c r="T60" s="58">
        <v>88.1</v>
      </c>
      <c r="U60" s="58">
        <v>1.6413030880999995</v>
      </c>
      <c r="V60" s="58">
        <v>1.6413030880999995</v>
      </c>
      <c r="W60" s="58">
        <v>1.2716112463903226</v>
      </c>
      <c r="X60" s="59">
        <v>47419</v>
      </c>
      <c r="Y60" s="58">
        <v>2029</v>
      </c>
      <c r="Z60" s="58"/>
      <c r="AA60" s="58"/>
      <c r="AB60" s="58"/>
      <c r="AC60" s="58"/>
    </row>
    <row r="61" spans="1:29" x14ac:dyDescent="0.25">
      <c r="A61" s="58" t="s">
        <v>261</v>
      </c>
      <c r="B61" s="58" t="s">
        <v>354</v>
      </c>
      <c r="C61" s="58" t="s">
        <v>85</v>
      </c>
      <c r="D61" s="58" t="s">
        <v>85</v>
      </c>
      <c r="E61" s="58" t="s">
        <v>24</v>
      </c>
      <c r="F61" s="59">
        <v>41958</v>
      </c>
      <c r="G61" s="58">
        <v>2014</v>
      </c>
      <c r="H61" s="58">
        <v>11.4</v>
      </c>
      <c r="I61" s="58">
        <v>1</v>
      </c>
      <c r="J61" s="58">
        <v>11.4</v>
      </c>
      <c r="K61" s="58">
        <v>2372.8070175438593</v>
      </c>
      <c r="L61" s="58">
        <v>27.049999999999997</v>
      </c>
      <c r="M61" s="58">
        <v>0.16462216817372943</v>
      </c>
      <c r="N61" s="58">
        <v>4.4530296490993804</v>
      </c>
      <c r="O61" s="58" t="s">
        <v>25</v>
      </c>
      <c r="P61" s="58">
        <v>88.1</v>
      </c>
      <c r="Q61" s="58">
        <v>2.3831049999999996</v>
      </c>
      <c r="R61" s="58">
        <v>0.39231191208565536</v>
      </c>
      <c r="S61" s="58">
        <v>2024</v>
      </c>
      <c r="T61" s="58">
        <v>88.1</v>
      </c>
      <c r="U61" s="58">
        <v>2.3831049999999996</v>
      </c>
      <c r="V61" s="58">
        <v>2.3831049999999996</v>
      </c>
      <c r="W61" s="58">
        <v>1.9907930879143441</v>
      </c>
      <c r="X61" s="59">
        <v>47436</v>
      </c>
      <c r="Y61" s="58">
        <v>2029</v>
      </c>
      <c r="Z61" s="58"/>
      <c r="AA61" s="58"/>
      <c r="AB61" s="58"/>
      <c r="AC61" s="58"/>
    </row>
    <row r="62" spans="1:29" x14ac:dyDescent="0.25">
      <c r="A62" s="58" t="s">
        <v>262</v>
      </c>
      <c r="B62" s="58" t="s">
        <v>356</v>
      </c>
      <c r="C62" s="58" t="s">
        <v>86</v>
      </c>
      <c r="D62" s="58" t="s">
        <v>87</v>
      </c>
      <c r="E62" s="58" t="s">
        <v>24</v>
      </c>
      <c r="F62" s="59">
        <v>42053</v>
      </c>
      <c r="G62" s="58">
        <v>2015</v>
      </c>
      <c r="H62" s="58">
        <v>11.4</v>
      </c>
      <c r="I62" s="58">
        <v>1</v>
      </c>
      <c r="J62" s="58">
        <v>11.4</v>
      </c>
      <c r="K62" s="58">
        <v>2283.3333333333335</v>
      </c>
      <c r="L62" s="58">
        <v>26.030000000000005</v>
      </c>
      <c r="M62" s="58">
        <v>0.8128408210306789</v>
      </c>
      <c r="N62" s="58">
        <v>21.158246571428574</v>
      </c>
      <c r="O62" s="58" t="s">
        <v>25</v>
      </c>
      <c r="P62" s="58">
        <v>87.9</v>
      </c>
      <c r="Q62" s="58">
        <v>2.2880370000000005</v>
      </c>
      <c r="R62" s="58">
        <v>1.8598098736285718</v>
      </c>
      <c r="S62" s="58">
        <v>2025</v>
      </c>
      <c r="T62" s="58">
        <v>87.9</v>
      </c>
      <c r="U62" s="58">
        <v>2.2880370000000005</v>
      </c>
      <c r="V62" s="58">
        <v>2.2880370000000005</v>
      </c>
      <c r="W62" s="58">
        <v>0.42822712637142879</v>
      </c>
      <c r="X62" s="59">
        <v>47531</v>
      </c>
      <c r="Y62" s="58">
        <v>2030</v>
      </c>
      <c r="Z62" s="58"/>
      <c r="AA62" s="58"/>
      <c r="AB62" s="58"/>
      <c r="AC62" s="58"/>
    </row>
    <row r="63" spans="1:29" x14ac:dyDescent="0.25">
      <c r="A63" s="58" t="s">
        <v>263</v>
      </c>
      <c r="B63" s="58" t="s">
        <v>357</v>
      </c>
      <c r="C63" s="58" t="s">
        <v>88</v>
      </c>
      <c r="D63" s="58" t="s">
        <v>89</v>
      </c>
      <c r="E63" s="58" t="s">
        <v>24</v>
      </c>
      <c r="F63" s="59">
        <v>42076</v>
      </c>
      <c r="G63" s="58">
        <v>2015</v>
      </c>
      <c r="H63" s="58">
        <v>11.4</v>
      </c>
      <c r="I63" s="58">
        <v>1</v>
      </c>
      <c r="J63" s="58">
        <v>11.4</v>
      </c>
      <c r="K63" s="58">
        <v>2283.3333333333335</v>
      </c>
      <c r="L63" s="58">
        <v>26.030000000000005</v>
      </c>
      <c r="M63" s="58">
        <v>0.7355626516550382</v>
      </c>
      <c r="N63" s="58">
        <v>19.146695822580647</v>
      </c>
      <c r="O63" s="58" t="s">
        <v>25</v>
      </c>
      <c r="P63" s="58">
        <v>87.9</v>
      </c>
      <c r="Q63" s="58">
        <v>2.2880370000000005</v>
      </c>
      <c r="R63" s="58">
        <v>1.6829945628048391</v>
      </c>
      <c r="S63" s="58">
        <v>2025</v>
      </c>
      <c r="T63" s="58">
        <v>87.9</v>
      </c>
      <c r="U63" s="58">
        <v>2.2880370000000005</v>
      </c>
      <c r="V63" s="58">
        <v>2.2880370000000005</v>
      </c>
      <c r="W63" s="58">
        <v>0.6050424371951616</v>
      </c>
      <c r="X63" s="59">
        <v>47554</v>
      </c>
      <c r="Y63" s="58">
        <v>2030</v>
      </c>
      <c r="Z63" s="58"/>
      <c r="AA63" s="58"/>
      <c r="AB63" s="58"/>
      <c r="AC63" s="58"/>
    </row>
    <row r="64" spans="1:29" x14ac:dyDescent="0.25">
      <c r="A64" s="58" t="s">
        <v>265</v>
      </c>
      <c r="B64" s="58" t="s">
        <v>90</v>
      </c>
      <c r="C64" s="58" t="s">
        <v>90</v>
      </c>
      <c r="D64" s="58" t="s">
        <v>90</v>
      </c>
      <c r="E64" s="58" t="s">
        <v>24</v>
      </c>
      <c r="F64" s="59">
        <v>42090</v>
      </c>
      <c r="G64" s="58">
        <v>2015</v>
      </c>
      <c r="H64" s="58">
        <v>10</v>
      </c>
      <c r="I64" s="58">
        <v>1</v>
      </c>
      <c r="J64" s="58">
        <v>10</v>
      </c>
      <c r="K64" s="58">
        <v>2545</v>
      </c>
      <c r="L64" s="58">
        <v>25.45</v>
      </c>
      <c r="M64" s="58">
        <v>0.69457085620128023</v>
      </c>
      <c r="N64" s="58">
        <v>17.676828290322582</v>
      </c>
      <c r="O64" s="58" t="s">
        <v>25</v>
      </c>
      <c r="P64" s="58">
        <v>87.9</v>
      </c>
      <c r="Q64" s="58">
        <v>2.2370550000000002</v>
      </c>
      <c r="R64" s="58">
        <v>1.5537932067193552</v>
      </c>
      <c r="S64" s="58">
        <v>2025</v>
      </c>
      <c r="T64" s="58">
        <v>80.68625000000003</v>
      </c>
      <c r="U64" s="58">
        <v>2.0534650625000008</v>
      </c>
      <c r="V64" s="58">
        <v>2.1095387799206859</v>
      </c>
      <c r="W64" s="58">
        <v>0.62718807585995962</v>
      </c>
      <c r="X64" s="59">
        <v>47568</v>
      </c>
      <c r="Y64" s="58">
        <v>2030</v>
      </c>
      <c r="Z64" s="58"/>
      <c r="AA64" s="58"/>
      <c r="AB64" s="58"/>
      <c r="AC64" s="58"/>
    </row>
    <row r="65" spans="1:29" x14ac:dyDescent="0.25">
      <c r="A65" s="58" t="s">
        <v>267</v>
      </c>
      <c r="B65" s="58" t="s">
        <v>359</v>
      </c>
      <c r="C65" s="58" t="s">
        <v>91</v>
      </c>
      <c r="D65" s="58" t="s">
        <v>91</v>
      </c>
      <c r="E65" s="58" t="s">
        <v>73</v>
      </c>
      <c r="F65" s="59">
        <v>42276</v>
      </c>
      <c r="G65" s="58">
        <v>2015</v>
      </c>
      <c r="H65" s="58">
        <v>9.8000000000000007</v>
      </c>
      <c r="I65" s="58">
        <v>1</v>
      </c>
      <c r="J65" s="58">
        <v>9.8000000000000007</v>
      </c>
      <c r="K65" s="58">
        <v>1556.5510204081631</v>
      </c>
      <c r="L65" s="58">
        <v>15.254200000000001</v>
      </c>
      <c r="M65" s="58">
        <v>0.1712020296049612</v>
      </c>
      <c r="N65" s="58">
        <v>2.6115499999999994</v>
      </c>
      <c r="O65" s="58" t="s">
        <v>25</v>
      </c>
      <c r="P65" s="58">
        <v>85.6</v>
      </c>
      <c r="Q65" s="58">
        <v>1.3057595200000001</v>
      </c>
      <c r="R65" s="58">
        <v>0.22354867999999994</v>
      </c>
      <c r="S65" s="58">
        <v>2035</v>
      </c>
      <c r="T65" s="58">
        <v>85.6</v>
      </c>
      <c r="U65" s="58">
        <v>1.3057595200000001</v>
      </c>
      <c r="V65" s="58">
        <v>1.3057595200000001</v>
      </c>
      <c r="W65" s="58">
        <v>1.0822108399999999</v>
      </c>
      <c r="X65" s="59">
        <v>49580</v>
      </c>
      <c r="Y65" s="58">
        <v>2035</v>
      </c>
      <c r="Z65" s="58"/>
      <c r="AA65" s="58"/>
      <c r="AB65" s="58"/>
      <c r="AC65" s="58"/>
    </row>
    <row r="66" spans="1:29" x14ac:dyDescent="0.25">
      <c r="A66" s="58" t="s">
        <v>266</v>
      </c>
      <c r="B66" s="58" t="s">
        <v>358</v>
      </c>
      <c r="C66" s="58" t="s">
        <v>92</v>
      </c>
      <c r="D66" s="58" t="s">
        <v>92</v>
      </c>
      <c r="E66" s="58" t="s">
        <v>24</v>
      </c>
      <c r="F66" s="59">
        <v>42344</v>
      </c>
      <c r="G66" s="58">
        <v>2015</v>
      </c>
      <c r="H66" s="58">
        <v>14.35</v>
      </c>
      <c r="I66" s="58">
        <v>1</v>
      </c>
      <c r="J66" s="58">
        <v>14.35</v>
      </c>
      <c r="K66" s="58">
        <v>2334.4948432055749</v>
      </c>
      <c r="L66" s="58">
        <v>33.500000999999997</v>
      </c>
      <c r="M66" s="58">
        <v>7.6607725204776406E-2</v>
      </c>
      <c r="N66" s="58">
        <v>2.5663588709677345</v>
      </c>
      <c r="O66" s="58" t="s">
        <v>25</v>
      </c>
      <c r="P66" s="58">
        <v>87.7</v>
      </c>
      <c r="Q66" s="58">
        <v>2.9379500877</v>
      </c>
      <c r="R66" s="58">
        <v>0.22506967298387034</v>
      </c>
      <c r="S66" s="58">
        <v>2025</v>
      </c>
      <c r="T66" s="58">
        <v>87.7</v>
      </c>
      <c r="U66" s="58">
        <v>2.9379500877</v>
      </c>
      <c r="V66" s="58">
        <v>2.9379500877</v>
      </c>
      <c r="W66" s="58">
        <v>2.7128804147161296</v>
      </c>
      <c r="X66" s="59">
        <v>47822</v>
      </c>
      <c r="Y66" s="58">
        <v>2030</v>
      </c>
      <c r="Z66" s="58"/>
      <c r="AA66" s="58"/>
      <c r="AB66" s="58"/>
      <c r="AC66" s="58"/>
    </row>
    <row r="67" spans="1:29" x14ac:dyDescent="0.25">
      <c r="A67" s="58" t="s">
        <v>268</v>
      </c>
      <c r="B67" s="58" t="s">
        <v>93</v>
      </c>
      <c r="C67" s="58" t="s">
        <v>93</v>
      </c>
      <c r="D67" s="58" t="s">
        <v>93</v>
      </c>
      <c r="E67" s="58" t="s">
        <v>24</v>
      </c>
      <c r="F67" s="59">
        <v>42583</v>
      </c>
      <c r="G67" s="58">
        <v>2016</v>
      </c>
      <c r="H67" s="58">
        <v>13.8</v>
      </c>
      <c r="I67" s="58">
        <v>1</v>
      </c>
      <c r="J67" s="58">
        <v>13.8</v>
      </c>
      <c r="K67" s="58">
        <v>2165.2173913043475</v>
      </c>
      <c r="L67" s="58">
        <v>29.879999999999995</v>
      </c>
      <c r="M67" s="58">
        <v>0.41644250982424319</v>
      </c>
      <c r="N67" s="58">
        <v>12.443302193548385</v>
      </c>
      <c r="O67" s="58" t="s">
        <v>25</v>
      </c>
      <c r="P67" s="58">
        <v>87.7</v>
      </c>
      <c r="Q67" s="58">
        <v>2.6204759999999996</v>
      </c>
      <c r="R67" s="58">
        <v>1.0912776023741935</v>
      </c>
      <c r="S67" s="58">
        <v>2026</v>
      </c>
      <c r="T67" s="58">
        <v>87.7</v>
      </c>
      <c r="U67" s="58">
        <v>2.6204759999999996</v>
      </c>
      <c r="V67" s="58">
        <v>2.6204759999999996</v>
      </c>
      <c r="W67" s="58">
        <v>1.5291983976258063</v>
      </c>
      <c r="X67" s="59">
        <v>48060</v>
      </c>
      <c r="Y67" s="58">
        <v>2031</v>
      </c>
      <c r="Z67" s="58"/>
      <c r="AA67" s="58"/>
      <c r="AB67" s="58"/>
      <c r="AC67" s="58"/>
    </row>
    <row r="68" spans="1:29" x14ac:dyDescent="0.25">
      <c r="A68" s="58" t="s">
        <v>269</v>
      </c>
      <c r="B68" s="58" t="s">
        <v>94</v>
      </c>
      <c r="C68" s="58" t="s">
        <v>94</v>
      </c>
      <c r="D68" s="58" t="s">
        <v>94</v>
      </c>
      <c r="E68" s="58" t="s">
        <v>24</v>
      </c>
      <c r="F68" s="59">
        <v>42698</v>
      </c>
      <c r="G68" s="58">
        <v>2016</v>
      </c>
      <c r="H68" s="58">
        <v>12</v>
      </c>
      <c r="I68" s="58">
        <v>1</v>
      </c>
      <c r="J68" s="58">
        <v>12</v>
      </c>
      <c r="K68" s="58">
        <v>2194.8750000000005</v>
      </c>
      <c r="L68" s="58">
        <v>26.338500000000007</v>
      </c>
      <c r="M68" s="58">
        <v>0.13749607039125242</v>
      </c>
      <c r="N68" s="58">
        <v>3.6214402500000027</v>
      </c>
      <c r="O68" s="58" t="s">
        <v>25</v>
      </c>
      <c r="P68" s="58">
        <v>87.3</v>
      </c>
      <c r="Q68" s="58">
        <v>2.2993510500000007</v>
      </c>
      <c r="R68" s="58">
        <v>0.31615173382500023</v>
      </c>
      <c r="S68" s="58">
        <v>2026</v>
      </c>
      <c r="T68" s="58">
        <v>87.3</v>
      </c>
      <c r="U68" s="58">
        <v>2.2993510500000007</v>
      </c>
      <c r="V68" s="58">
        <v>2.2993510500000003</v>
      </c>
      <c r="W68" s="58">
        <v>1.9831993161750003</v>
      </c>
      <c r="X68" s="59">
        <v>48175</v>
      </c>
      <c r="Y68" s="58">
        <v>2031</v>
      </c>
      <c r="Z68" s="58"/>
      <c r="AA68" s="58"/>
      <c r="AB68" s="58"/>
      <c r="AC68" s="58"/>
    </row>
    <row r="69" spans="1:29" x14ac:dyDescent="0.25">
      <c r="A69" s="58" t="s">
        <v>271</v>
      </c>
      <c r="B69" s="58" t="s">
        <v>95</v>
      </c>
      <c r="C69" s="58" t="s">
        <v>95</v>
      </c>
      <c r="D69" s="58" t="s">
        <v>95</v>
      </c>
      <c r="E69" s="58" t="s">
        <v>24</v>
      </c>
      <c r="F69" s="59">
        <v>42705</v>
      </c>
      <c r="G69" s="58">
        <v>2016</v>
      </c>
      <c r="H69" s="58">
        <v>9.6</v>
      </c>
      <c r="I69" s="58">
        <v>1</v>
      </c>
      <c r="J69" s="58">
        <v>9.6</v>
      </c>
      <c r="K69" s="58">
        <v>2006.2498958333333</v>
      </c>
      <c r="L69" s="58">
        <v>19.259999000000001</v>
      </c>
      <c r="M69" s="58">
        <v>0.10612160132946379</v>
      </c>
      <c r="N69" s="58">
        <v>2.0439019354838712</v>
      </c>
      <c r="O69" s="58" t="s">
        <v>25</v>
      </c>
      <c r="P69" s="58">
        <v>87.4</v>
      </c>
      <c r="Q69" s="58">
        <v>1.6833239126000001</v>
      </c>
      <c r="R69" s="58">
        <v>0.17863702916129034</v>
      </c>
      <c r="S69" s="58">
        <v>2026</v>
      </c>
      <c r="T69" s="58">
        <v>87.4</v>
      </c>
      <c r="U69" s="58">
        <v>1.6833239126000001</v>
      </c>
      <c r="V69" s="58">
        <v>1.6833239126000001</v>
      </c>
      <c r="W69" s="58">
        <v>1.5046868834387099</v>
      </c>
      <c r="X69" s="59">
        <v>48182</v>
      </c>
      <c r="Y69" s="58">
        <v>2031</v>
      </c>
      <c r="Z69" s="58"/>
      <c r="AA69" s="58"/>
      <c r="AB69" s="58"/>
      <c r="AC69" s="58"/>
    </row>
    <row r="70" spans="1:29" x14ac:dyDescent="0.25">
      <c r="A70" s="58" t="s">
        <v>272</v>
      </c>
      <c r="B70" s="58" t="s">
        <v>96</v>
      </c>
      <c r="C70" s="58" t="s">
        <v>96</v>
      </c>
      <c r="D70" s="58" t="s">
        <v>96</v>
      </c>
      <c r="E70" s="58" t="s">
        <v>24</v>
      </c>
      <c r="F70" s="59">
        <v>42705</v>
      </c>
      <c r="G70" s="58">
        <v>2016</v>
      </c>
      <c r="H70" s="58">
        <v>12.5</v>
      </c>
      <c r="I70" s="58">
        <v>1</v>
      </c>
      <c r="J70" s="58">
        <v>12.5</v>
      </c>
      <c r="K70" s="58">
        <v>1702.4000000000003</v>
      </c>
      <c r="L70" s="58">
        <v>21.280000000000005</v>
      </c>
      <c r="M70" s="58">
        <v>0.10992579735629418</v>
      </c>
      <c r="N70" s="58">
        <v>2.3392209677419409</v>
      </c>
      <c r="O70" s="58" t="s">
        <v>25</v>
      </c>
      <c r="P70" s="58">
        <v>87.4</v>
      </c>
      <c r="Q70" s="58">
        <v>1.8598720000000006</v>
      </c>
      <c r="R70" s="58">
        <v>0.20444791258064562</v>
      </c>
      <c r="S70" s="58">
        <v>2026</v>
      </c>
      <c r="T70" s="58">
        <v>87.4</v>
      </c>
      <c r="U70" s="58">
        <v>1.8598720000000006</v>
      </c>
      <c r="V70" s="58">
        <v>1.8598720000000006</v>
      </c>
      <c r="W70" s="58">
        <v>1.6554240874193549</v>
      </c>
      <c r="X70" s="59">
        <v>48182</v>
      </c>
      <c r="Y70" s="58">
        <v>2031</v>
      </c>
      <c r="Z70" s="58"/>
      <c r="AA70" s="58"/>
      <c r="AB70" s="58"/>
      <c r="AC70" s="58"/>
    </row>
    <row r="71" spans="1:29" x14ac:dyDescent="0.25">
      <c r="A71" s="58" t="s">
        <v>270</v>
      </c>
      <c r="B71" s="58" t="s">
        <v>97</v>
      </c>
      <c r="C71" s="58" t="s">
        <v>97</v>
      </c>
      <c r="D71" s="58" t="s">
        <v>97</v>
      </c>
      <c r="E71" s="58" t="s">
        <v>24</v>
      </c>
      <c r="F71" s="59">
        <v>42879</v>
      </c>
      <c r="G71" s="58">
        <v>2017</v>
      </c>
      <c r="H71" s="58">
        <v>4</v>
      </c>
      <c r="I71" s="58">
        <v>1</v>
      </c>
      <c r="J71" s="58">
        <v>4</v>
      </c>
      <c r="K71" s="58">
        <v>2194.875</v>
      </c>
      <c r="L71" s="58">
        <v>8.7795000000000005</v>
      </c>
      <c r="M71" s="58">
        <v>0.5465707899083091</v>
      </c>
      <c r="N71" s="58">
        <v>4.7986182499999996</v>
      </c>
      <c r="O71" s="58" t="s">
        <v>25</v>
      </c>
      <c r="P71" s="58">
        <v>87.3</v>
      </c>
      <c r="Q71" s="58">
        <v>0.76645035000000006</v>
      </c>
      <c r="R71" s="58">
        <v>0.41891937322499995</v>
      </c>
      <c r="S71" s="58">
        <v>2027</v>
      </c>
      <c r="T71" s="58">
        <v>87.3</v>
      </c>
      <c r="U71" s="58">
        <v>0.76645035000000006</v>
      </c>
      <c r="V71" s="58">
        <v>0.76645035000000006</v>
      </c>
      <c r="W71" s="58">
        <v>0.34753097677500006</v>
      </c>
      <c r="X71" s="59">
        <v>48357</v>
      </c>
      <c r="Y71" s="58">
        <v>2032</v>
      </c>
      <c r="Z71" s="58"/>
      <c r="AA71" s="58"/>
      <c r="AB71" s="58"/>
      <c r="AC71" s="58"/>
    </row>
    <row r="72" spans="1:29" x14ac:dyDescent="0.25">
      <c r="A72" s="58" t="s">
        <v>273</v>
      </c>
      <c r="B72" s="58" t="s">
        <v>360</v>
      </c>
      <c r="C72" s="58" t="s">
        <v>98</v>
      </c>
      <c r="D72" s="58" t="s">
        <v>98</v>
      </c>
      <c r="E72" s="58" t="s">
        <v>24</v>
      </c>
      <c r="F72" s="59">
        <v>42926</v>
      </c>
      <c r="G72" s="58">
        <v>2017</v>
      </c>
      <c r="H72" s="58">
        <v>10</v>
      </c>
      <c r="I72" s="58">
        <v>1</v>
      </c>
      <c r="J72" s="58">
        <v>10</v>
      </c>
      <c r="K72" s="58">
        <v>2899.0001000000002</v>
      </c>
      <c r="L72" s="58">
        <v>28.990001000000003</v>
      </c>
      <c r="M72" s="58">
        <v>0.46538532705722202</v>
      </c>
      <c r="N72" s="58">
        <v>13.491521096774195</v>
      </c>
      <c r="O72" s="58" t="s">
        <v>25</v>
      </c>
      <c r="P72" s="58">
        <v>85.7</v>
      </c>
      <c r="Q72" s="58">
        <v>2.4844430857000002</v>
      </c>
      <c r="R72" s="58">
        <v>1.1562233579935484</v>
      </c>
      <c r="S72" s="58">
        <v>2027</v>
      </c>
      <c r="T72" s="58">
        <v>63.049994999999996</v>
      </c>
      <c r="U72" s="58">
        <v>1.8278194180999952</v>
      </c>
      <c r="V72" s="58">
        <v>2.1788600654004591</v>
      </c>
      <c r="W72" s="58">
        <v>0.97717908040598767</v>
      </c>
      <c r="X72" s="59">
        <v>48404</v>
      </c>
      <c r="Y72" s="58">
        <v>2032</v>
      </c>
      <c r="Z72" s="58"/>
      <c r="AA72" s="58"/>
      <c r="AB72" s="58"/>
      <c r="AC72" s="58"/>
    </row>
    <row r="73" spans="1:29" x14ac:dyDescent="0.25">
      <c r="A73" s="58" t="s">
        <v>274</v>
      </c>
      <c r="B73" s="58" t="s">
        <v>361</v>
      </c>
      <c r="C73" s="58" t="s">
        <v>99</v>
      </c>
      <c r="D73" s="58" t="s">
        <v>200</v>
      </c>
      <c r="E73" s="58" t="s">
        <v>24</v>
      </c>
      <c r="F73" s="59">
        <v>42948</v>
      </c>
      <c r="G73" s="58">
        <v>2017</v>
      </c>
      <c r="H73" s="58">
        <v>24</v>
      </c>
      <c r="I73" s="58">
        <v>1</v>
      </c>
      <c r="J73" s="58">
        <v>24</v>
      </c>
      <c r="K73" s="58">
        <v>2805.4166666666665</v>
      </c>
      <c r="L73" s="58">
        <v>67.33</v>
      </c>
      <c r="M73" s="58">
        <v>0.43134486616232981</v>
      </c>
      <c r="N73" s="58">
        <v>29.042449838709665</v>
      </c>
      <c r="O73" s="58" t="s">
        <v>25</v>
      </c>
      <c r="P73" s="58">
        <v>86.7</v>
      </c>
      <c r="Q73" s="58">
        <v>5.8375110000000001</v>
      </c>
      <c r="R73" s="58">
        <v>2.517980401016128</v>
      </c>
      <c r="S73" s="58">
        <v>2027</v>
      </c>
      <c r="T73" s="58">
        <v>67.729166666666657</v>
      </c>
      <c r="U73" s="58">
        <v>4.5602047916666661</v>
      </c>
      <c r="V73" s="58">
        <v>5.2865515245181447</v>
      </c>
      <c r="W73" s="58">
        <v>2.5931838661323927</v>
      </c>
      <c r="X73" s="59">
        <v>48426</v>
      </c>
      <c r="Y73" s="58">
        <v>2032</v>
      </c>
      <c r="Z73" s="58"/>
      <c r="AA73" s="58"/>
      <c r="AB73" s="58"/>
      <c r="AC73" s="58"/>
    </row>
    <row r="74" spans="1:29" x14ac:dyDescent="0.25">
      <c r="A74" s="58" t="s">
        <v>275</v>
      </c>
      <c r="B74" s="58" t="s">
        <v>362</v>
      </c>
      <c r="C74" s="58"/>
      <c r="D74" s="58" t="s">
        <v>201</v>
      </c>
      <c r="E74" s="58"/>
      <c r="F74" s="59"/>
      <c r="G74" s="58"/>
      <c r="H74" s="58"/>
      <c r="I74" s="58">
        <v>1</v>
      </c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9"/>
      <c r="Y74" s="58"/>
      <c r="Z74" s="58"/>
      <c r="AA74" s="58"/>
      <c r="AB74" s="58"/>
      <c r="AC74" s="58"/>
    </row>
    <row r="75" spans="1:29" x14ac:dyDescent="0.25">
      <c r="A75" s="58" t="s">
        <v>276</v>
      </c>
      <c r="B75" s="58" t="s">
        <v>363</v>
      </c>
      <c r="C75" s="58" t="s">
        <v>101</v>
      </c>
      <c r="D75" s="58" t="s">
        <v>199</v>
      </c>
      <c r="E75" s="58" t="s">
        <v>24</v>
      </c>
      <c r="F75" s="59">
        <v>42965</v>
      </c>
      <c r="G75" s="58">
        <v>2017</v>
      </c>
      <c r="H75" s="58">
        <v>15</v>
      </c>
      <c r="I75" s="58">
        <v>1</v>
      </c>
      <c r="J75" s="58">
        <v>15</v>
      </c>
      <c r="K75" s="58">
        <v>2433.3333333333335</v>
      </c>
      <c r="L75" s="58">
        <v>36.5</v>
      </c>
      <c r="M75" s="58">
        <v>0.39917982942996033</v>
      </c>
      <c r="N75" s="58">
        <v>14.570063774193551</v>
      </c>
      <c r="O75" s="58" t="s">
        <v>25</v>
      </c>
      <c r="P75" s="58">
        <v>85.8</v>
      </c>
      <c r="Q75" s="58">
        <v>3.1316999999999999</v>
      </c>
      <c r="R75" s="58">
        <v>1.2501114718258066</v>
      </c>
      <c r="S75" s="58">
        <v>2027</v>
      </c>
      <c r="T75" s="58">
        <v>84.316666666666677</v>
      </c>
      <c r="U75" s="58">
        <v>3.0775583333333341</v>
      </c>
      <c r="V75" s="58">
        <v>3.1100877387349466</v>
      </c>
      <c r="W75" s="58">
        <v>1.8490591227725808</v>
      </c>
      <c r="X75" s="59">
        <v>48443</v>
      </c>
      <c r="Y75" s="58">
        <v>2032</v>
      </c>
      <c r="Z75" s="58"/>
      <c r="AA75" s="58"/>
      <c r="AB75" s="58"/>
      <c r="AC75" s="58"/>
    </row>
    <row r="76" spans="1:29" x14ac:dyDescent="0.25">
      <c r="A76" s="58" t="s">
        <v>277</v>
      </c>
      <c r="B76" s="58" t="s">
        <v>364</v>
      </c>
      <c r="C76" s="58"/>
      <c r="D76" s="58" t="s">
        <v>198</v>
      </c>
      <c r="E76" s="58"/>
      <c r="F76" s="59"/>
      <c r="G76" s="58"/>
      <c r="H76" s="58"/>
      <c r="I76" s="58">
        <v>1</v>
      </c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9"/>
      <c r="Y76" s="58"/>
      <c r="Z76" s="58"/>
      <c r="AA76" s="58"/>
      <c r="AB76" s="58"/>
      <c r="AC76" s="58"/>
    </row>
    <row r="77" spans="1:29" x14ac:dyDescent="0.25">
      <c r="A77" s="58" t="s">
        <v>278</v>
      </c>
      <c r="B77" s="58" t="s">
        <v>103</v>
      </c>
      <c r="C77" s="58" t="s">
        <v>103</v>
      </c>
      <c r="D77" s="58" t="s">
        <v>103</v>
      </c>
      <c r="E77" s="58" t="s">
        <v>24</v>
      </c>
      <c r="F77" s="59">
        <v>42997</v>
      </c>
      <c r="G77" s="58">
        <v>2017</v>
      </c>
      <c r="H77" s="58">
        <v>12.5</v>
      </c>
      <c r="I77" s="58">
        <v>1</v>
      </c>
      <c r="J77" s="58">
        <v>12.5</v>
      </c>
      <c r="K77" s="58">
        <v>2264.0000800000003</v>
      </c>
      <c r="L77" s="58">
        <v>28.300001000000005</v>
      </c>
      <c r="M77" s="58">
        <v>0.33945079601469513</v>
      </c>
      <c r="N77" s="58">
        <v>9.6064578666666698</v>
      </c>
      <c r="O77" s="58" t="s">
        <v>25</v>
      </c>
      <c r="P77" s="58">
        <v>85.8</v>
      </c>
      <c r="Q77" s="58">
        <v>2.4281400858</v>
      </c>
      <c r="R77" s="58">
        <v>0.82423408496000028</v>
      </c>
      <c r="S77" s="58">
        <v>2027</v>
      </c>
      <c r="T77" s="58">
        <v>85.8</v>
      </c>
      <c r="U77" s="58">
        <v>2.4281400858</v>
      </c>
      <c r="V77" s="58">
        <v>2.4281400858000008</v>
      </c>
      <c r="W77" s="58">
        <v>1.6039060008400001</v>
      </c>
      <c r="X77" s="59">
        <v>48475</v>
      </c>
      <c r="Y77" s="58">
        <v>2032</v>
      </c>
      <c r="Z77" s="58"/>
      <c r="AA77" s="58"/>
      <c r="AB77" s="58"/>
      <c r="AC77" s="58"/>
    </row>
    <row r="78" spans="1:29" x14ac:dyDescent="0.25">
      <c r="A78" s="58" t="s">
        <v>264</v>
      </c>
      <c r="B78" s="58" t="s">
        <v>203</v>
      </c>
      <c r="C78" s="58" t="s">
        <v>104</v>
      </c>
      <c r="D78" s="58" t="s">
        <v>203</v>
      </c>
      <c r="E78" s="58" t="s">
        <v>24</v>
      </c>
      <c r="F78" s="59">
        <v>43060</v>
      </c>
      <c r="G78" s="58">
        <v>2017</v>
      </c>
      <c r="H78" s="58">
        <v>23.1</v>
      </c>
      <c r="I78" s="58">
        <v>1</v>
      </c>
      <c r="J78" s="58">
        <v>23.1</v>
      </c>
      <c r="K78" s="58">
        <v>2607.1861038961038</v>
      </c>
      <c r="L78" s="58">
        <v>60.225999000000002</v>
      </c>
      <c r="M78" s="58">
        <v>0.13873717229663543</v>
      </c>
      <c r="N78" s="58">
        <v>8.3555847999999937</v>
      </c>
      <c r="O78" s="58" t="s">
        <v>25</v>
      </c>
      <c r="P78" s="58">
        <v>85.8</v>
      </c>
      <c r="Q78" s="58">
        <v>5.1673907141999997</v>
      </c>
      <c r="R78" s="58">
        <v>0.71690917583999947</v>
      </c>
      <c r="S78" s="58">
        <v>2027</v>
      </c>
      <c r="T78" s="58">
        <v>76.580218376623407</v>
      </c>
      <c r="U78" s="58">
        <v>4.6121201553703033</v>
      </c>
      <c r="V78" s="58">
        <v>5.090354047008395</v>
      </c>
      <c r="W78" s="58">
        <v>3.9722476467219079</v>
      </c>
      <c r="X78" s="59">
        <v>48538</v>
      </c>
      <c r="Y78" s="58">
        <v>2032</v>
      </c>
      <c r="Z78" s="58"/>
      <c r="AA78" s="58"/>
      <c r="AB78" s="58"/>
      <c r="AC78" s="58"/>
    </row>
    <row r="79" spans="1:29" x14ac:dyDescent="0.25">
      <c r="A79" s="58" t="s">
        <v>279</v>
      </c>
      <c r="B79" s="58" t="s">
        <v>202</v>
      </c>
      <c r="C79" s="58"/>
      <c r="D79" s="58" t="s">
        <v>202</v>
      </c>
      <c r="E79" s="58"/>
      <c r="F79" s="59"/>
      <c r="G79" s="58"/>
      <c r="H79" s="58"/>
      <c r="I79" s="58">
        <v>1</v>
      </c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9"/>
      <c r="Y79" s="58"/>
      <c r="Z79" s="58"/>
      <c r="AA79" s="58"/>
      <c r="AB79" s="58"/>
      <c r="AC79" s="58"/>
    </row>
    <row r="80" spans="1:29" x14ac:dyDescent="0.25">
      <c r="A80" s="58" t="s">
        <v>280</v>
      </c>
      <c r="B80" s="58" t="s">
        <v>365</v>
      </c>
      <c r="C80" s="58" t="s">
        <v>106</v>
      </c>
      <c r="D80" s="58" t="s">
        <v>106</v>
      </c>
      <c r="E80" s="58" t="s">
        <v>24</v>
      </c>
      <c r="F80" s="59">
        <v>43075</v>
      </c>
      <c r="G80" s="58">
        <v>2017</v>
      </c>
      <c r="H80" s="58">
        <v>29.7</v>
      </c>
      <c r="I80" s="58">
        <v>1</v>
      </c>
      <c r="J80" s="58">
        <v>29.7</v>
      </c>
      <c r="K80" s="58">
        <v>2424.006734006734</v>
      </c>
      <c r="L80" s="58">
        <v>71.992999999999995</v>
      </c>
      <c r="M80" s="58">
        <v>9.0598929196969422E-2</v>
      </c>
      <c r="N80" s="58">
        <v>6.5224887096774191</v>
      </c>
      <c r="O80" s="58" t="s">
        <v>25</v>
      </c>
      <c r="P80" s="58">
        <v>85.8</v>
      </c>
      <c r="Q80" s="58">
        <v>6.1769993999999997</v>
      </c>
      <c r="R80" s="58">
        <v>0.55962953129032256</v>
      </c>
      <c r="S80" s="58">
        <v>2027</v>
      </c>
      <c r="T80" s="58">
        <v>84.731700336700357</v>
      </c>
      <c r="U80" s="58">
        <v>6.1000893023400682</v>
      </c>
      <c r="V80" s="58">
        <v>6.1700314275075749</v>
      </c>
      <c r="W80" s="58">
        <v>5.5474277435421699</v>
      </c>
      <c r="X80" s="59">
        <v>48553</v>
      </c>
      <c r="Y80" s="58">
        <v>2032</v>
      </c>
      <c r="Z80" s="58"/>
      <c r="AA80" s="58"/>
      <c r="AB80" s="58"/>
      <c r="AC80" s="58"/>
    </row>
    <row r="81" spans="1:29" x14ac:dyDescent="0.25">
      <c r="A81" s="58" t="s">
        <v>281</v>
      </c>
      <c r="B81" s="58" t="s">
        <v>366</v>
      </c>
      <c r="C81" s="58" t="s">
        <v>107</v>
      </c>
      <c r="D81" s="58" t="s">
        <v>107</v>
      </c>
      <c r="E81" s="58" t="s">
        <v>24</v>
      </c>
      <c r="F81" s="59">
        <v>43367</v>
      </c>
      <c r="G81" s="58">
        <v>2018</v>
      </c>
      <c r="H81" s="58">
        <v>33</v>
      </c>
      <c r="I81" s="58">
        <v>1</v>
      </c>
      <c r="J81" s="58">
        <v>33</v>
      </c>
      <c r="K81" s="58">
        <v>2792.4242727272731</v>
      </c>
      <c r="L81" s="58">
        <v>92.150001000000017</v>
      </c>
      <c r="M81" s="58">
        <v>0.31932043060965365</v>
      </c>
      <c r="N81" s="58">
        <v>29.42537800000002</v>
      </c>
      <c r="O81" s="58" t="s">
        <v>25</v>
      </c>
      <c r="P81" s="58">
        <v>83</v>
      </c>
      <c r="Q81" s="58">
        <v>7.648450083000002</v>
      </c>
      <c r="R81" s="58">
        <v>2.4423063740000015</v>
      </c>
      <c r="S81" s="58">
        <v>2028</v>
      </c>
      <c r="T81" s="58">
        <v>68.284089772727256</v>
      </c>
      <c r="U81" s="58">
        <v>6.2923789408409077</v>
      </c>
      <c r="V81" s="58">
        <v>7.2154288619484337</v>
      </c>
      <c r="W81" s="58">
        <v>4.2830937878924722</v>
      </c>
      <c r="X81" s="59">
        <v>48845</v>
      </c>
      <c r="Y81" s="58">
        <v>2033</v>
      </c>
      <c r="Z81" s="58"/>
      <c r="AA81" s="58"/>
      <c r="AB81" s="58"/>
      <c r="AC81" s="58"/>
    </row>
    <row r="82" spans="1:29" x14ac:dyDescent="0.25">
      <c r="A82" s="58"/>
      <c r="B82" s="58"/>
      <c r="C82" s="62" t="s">
        <v>108</v>
      </c>
      <c r="D82" s="58" t="s">
        <v>108</v>
      </c>
      <c r="E82" s="58" t="s">
        <v>24</v>
      </c>
      <c r="F82" s="59">
        <v>43405</v>
      </c>
      <c r="G82" s="58">
        <v>2018</v>
      </c>
      <c r="H82" s="58">
        <v>10</v>
      </c>
      <c r="I82" s="58">
        <v>1</v>
      </c>
      <c r="J82" s="58">
        <v>10</v>
      </c>
      <c r="K82" s="58">
        <v>2659.9998000000001</v>
      </c>
      <c r="L82" s="58">
        <v>26.599997999999999</v>
      </c>
      <c r="M82" s="58">
        <v>0.20138913794905799</v>
      </c>
      <c r="N82" s="58">
        <v>5.3569506666666662</v>
      </c>
      <c r="O82" s="58" t="s">
        <v>109</v>
      </c>
      <c r="P82" s="58">
        <v>83.77</v>
      </c>
      <c r="Q82" s="58">
        <v>2.22828183246</v>
      </c>
      <c r="R82" s="58">
        <v>0.44875175734666656</v>
      </c>
      <c r="S82" s="58">
        <v>2028</v>
      </c>
      <c r="T82" s="58">
        <v>73.51950788500001</v>
      </c>
      <c r="U82" s="58">
        <v>1.9556187627019845</v>
      </c>
      <c r="V82" s="58">
        <v>2.1733704518908894</v>
      </c>
      <c r="W82" s="58">
        <v>1.5617783859244285</v>
      </c>
      <c r="X82" s="59">
        <v>48883</v>
      </c>
      <c r="Y82" s="58">
        <v>2033</v>
      </c>
      <c r="Z82" s="58"/>
      <c r="AA82" s="58"/>
      <c r="AB82" s="58"/>
      <c r="AC82" s="58"/>
    </row>
    <row r="83" spans="1:29" x14ac:dyDescent="0.25">
      <c r="A83" s="58" t="s">
        <v>282</v>
      </c>
      <c r="B83" s="58" t="s">
        <v>367</v>
      </c>
      <c r="C83" s="58" t="s">
        <v>110</v>
      </c>
      <c r="D83" s="58" t="s">
        <v>110</v>
      </c>
      <c r="E83" s="58" t="s">
        <v>24</v>
      </c>
      <c r="F83" s="59">
        <v>43409</v>
      </c>
      <c r="G83" s="58">
        <v>2018</v>
      </c>
      <c r="H83" s="58">
        <v>19.8</v>
      </c>
      <c r="I83" s="58">
        <v>1</v>
      </c>
      <c r="J83" s="58">
        <v>19.8</v>
      </c>
      <c r="K83" s="58">
        <v>3331.3130808080805</v>
      </c>
      <c r="L83" s="58">
        <v>65.959998999999996</v>
      </c>
      <c r="M83" s="58">
        <v>0.1901116589364007</v>
      </c>
      <c r="N83" s="58">
        <v>12.539764833333331</v>
      </c>
      <c r="O83" s="58" t="s">
        <v>25</v>
      </c>
      <c r="P83" s="58">
        <v>82.5</v>
      </c>
      <c r="Q83" s="58">
        <v>5.4416999175000003</v>
      </c>
      <c r="R83" s="58">
        <v>1.0345305987499998</v>
      </c>
      <c r="S83" s="58">
        <v>2028</v>
      </c>
      <c r="T83" s="58">
        <v>41.434345959595959</v>
      </c>
      <c r="U83" s="58">
        <v>2.7330094180606035</v>
      </c>
      <c r="V83" s="58">
        <v>4.9267462731063087</v>
      </c>
      <c r="W83" s="58">
        <v>2.213432463704295</v>
      </c>
      <c r="X83" s="59">
        <v>48887</v>
      </c>
      <c r="Y83" s="58">
        <v>2033</v>
      </c>
      <c r="Z83" s="58"/>
      <c r="AA83" s="58"/>
      <c r="AB83" s="58"/>
      <c r="AC83" s="58"/>
    </row>
    <row r="84" spans="1:29" x14ac:dyDescent="0.25">
      <c r="A84" s="58" t="s">
        <v>283</v>
      </c>
      <c r="B84" s="58" t="s">
        <v>111</v>
      </c>
      <c r="C84" s="58" t="s">
        <v>111</v>
      </c>
      <c r="D84" s="58" t="s">
        <v>111</v>
      </c>
      <c r="E84" s="58" t="s">
        <v>24</v>
      </c>
      <c r="F84" s="59">
        <v>43413</v>
      </c>
      <c r="G84" s="58">
        <v>2018</v>
      </c>
      <c r="H84" s="58">
        <v>25.6</v>
      </c>
      <c r="I84" s="58">
        <v>1</v>
      </c>
      <c r="J84" s="58">
        <v>25.6</v>
      </c>
      <c r="K84" s="58">
        <v>1852.407585546875</v>
      </c>
      <c r="L84" s="58">
        <v>47.421634190000006</v>
      </c>
      <c r="M84" s="58">
        <v>0.19175627409984047</v>
      </c>
      <c r="N84" s="58">
        <v>9.0933958840000084</v>
      </c>
      <c r="O84" s="58" t="s">
        <v>25</v>
      </c>
      <c r="P84" s="58">
        <v>82.5</v>
      </c>
      <c r="Q84" s="58">
        <v>3.9122848206750005</v>
      </c>
      <c r="R84" s="58">
        <v>0.75020516043000063</v>
      </c>
      <c r="S84" s="58">
        <v>2028</v>
      </c>
      <c r="T84" s="58">
        <v>82.5</v>
      </c>
      <c r="U84" s="58">
        <v>3.9122848206750005</v>
      </c>
      <c r="V84" s="58">
        <v>3.9122848206750005</v>
      </c>
      <c r="W84" s="58">
        <v>3.1620796602449994</v>
      </c>
      <c r="X84" s="59">
        <v>48891</v>
      </c>
      <c r="Y84" s="58">
        <v>2033</v>
      </c>
      <c r="Z84" s="58"/>
      <c r="AA84" s="58"/>
      <c r="AB84" s="58"/>
      <c r="AC84" s="58"/>
    </row>
    <row r="85" spans="1:29" x14ac:dyDescent="0.25">
      <c r="A85" s="58" t="s">
        <v>284</v>
      </c>
      <c r="B85" s="58" t="s">
        <v>112</v>
      </c>
      <c r="C85" s="58" t="s">
        <v>112</v>
      </c>
      <c r="D85" s="58" t="s">
        <v>112</v>
      </c>
      <c r="E85" s="58" t="s">
        <v>24</v>
      </c>
      <c r="F85" s="59">
        <v>43466</v>
      </c>
      <c r="G85" s="58">
        <v>2019</v>
      </c>
      <c r="H85" s="58">
        <v>10</v>
      </c>
      <c r="I85" s="58">
        <v>1</v>
      </c>
      <c r="J85" s="58">
        <v>10</v>
      </c>
      <c r="K85" s="58">
        <v>2870</v>
      </c>
      <c r="L85" s="58">
        <v>28.7</v>
      </c>
      <c r="M85" s="58">
        <v>0.99655489153647303</v>
      </c>
      <c r="N85" s="58">
        <v>28.601125387096776</v>
      </c>
      <c r="O85" s="58" t="s">
        <v>109</v>
      </c>
      <c r="P85" s="58">
        <v>83.77</v>
      </c>
      <c r="Q85" s="58">
        <v>2.4041989999999998</v>
      </c>
      <c r="R85" s="58">
        <v>2.3959162736770967</v>
      </c>
      <c r="S85" s="58">
        <v>2029</v>
      </c>
      <c r="T85" s="58">
        <v>64.5</v>
      </c>
      <c r="U85" s="58">
        <v>1.8511499999999999</v>
      </c>
      <c r="V85" s="58">
        <v>1.8530553137906451</v>
      </c>
      <c r="W85" s="58">
        <v>6.3774125322579242E-3</v>
      </c>
      <c r="X85" s="59">
        <v>48944</v>
      </c>
      <c r="Y85" s="58">
        <v>2033</v>
      </c>
      <c r="Z85" s="58"/>
      <c r="AA85" s="58"/>
      <c r="AB85" s="58"/>
      <c r="AC85" s="58"/>
    </row>
    <row r="86" spans="1:29" x14ac:dyDescent="0.25">
      <c r="A86" s="58" t="s">
        <v>225</v>
      </c>
      <c r="B86" s="58" t="s">
        <v>327</v>
      </c>
      <c r="C86" s="58" t="s">
        <v>113</v>
      </c>
      <c r="D86" s="58" t="s">
        <v>113</v>
      </c>
      <c r="E86" s="58" t="s">
        <v>24</v>
      </c>
      <c r="F86" s="59">
        <v>43466</v>
      </c>
      <c r="G86" s="58">
        <v>2019</v>
      </c>
      <c r="H86" s="58">
        <v>23.1</v>
      </c>
      <c r="I86" s="58">
        <v>1</v>
      </c>
      <c r="J86" s="58">
        <v>23.1</v>
      </c>
      <c r="K86" s="58">
        <v>2575.3246753246749</v>
      </c>
      <c r="L86" s="58">
        <v>59.489999999999995</v>
      </c>
      <c r="M86" s="58">
        <v>0.99630866125507667</v>
      </c>
      <c r="N86" s="58">
        <v>59.270402258064507</v>
      </c>
      <c r="O86" s="58" t="s">
        <v>109</v>
      </c>
      <c r="P86" s="58">
        <v>83.77</v>
      </c>
      <c r="Q86" s="58">
        <v>4.9834772999999997</v>
      </c>
      <c r="R86" s="58">
        <v>4.9650815971580631</v>
      </c>
      <c r="S86" s="58">
        <v>2029</v>
      </c>
      <c r="T86" s="58">
        <v>76.857824675324707</v>
      </c>
      <c r="U86" s="58">
        <v>4.572271989935067</v>
      </c>
      <c r="V86" s="58">
        <v>4.5737898880282275</v>
      </c>
      <c r="W86" s="58">
        <v>1.6877804748774899E-2</v>
      </c>
      <c r="X86" s="59">
        <v>48944</v>
      </c>
      <c r="Y86" s="58">
        <v>2033</v>
      </c>
      <c r="Z86" s="58"/>
      <c r="AA86" s="58"/>
      <c r="AB86" s="58"/>
      <c r="AC86" s="58"/>
    </row>
    <row r="87" spans="1:29" x14ac:dyDescent="0.25">
      <c r="A87" s="58" t="s">
        <v>285</v>
      </c>
      <c r="B87" s="58" t="s">
        <v>368</v>
      </c>
      <c r="C87" s="58" t="s">
        <v>114</v>
      </c>
      <c r="D87" s="58" t="s">
        <v>204</v>
      </c>
      <c r="E87" s="58" t="s">
        <v>24</v>
      </c>
      <c r="F87" s="59">
        <v>43497</v>
      </c>
      <c r="G87" s="58">
        <v>2019</v>
      </c>
      <c r="H87" s="58">
        <v>19.8</v>
      </c>
      <c r="I87" s="58">
        <v>1</v>
      </c>
      <c r="J87" s="58">
        <v>19.8</v>
      </c>
      <c r="K87" s="58">
        <v>2681.818181818182</v>
      </c>
      <c r="L87" s="58">
        <v>53.100000000000009</v>
      </c>
      <c r="M87" s="58">
        <v>0.87897040713694141</v>
      </c>
      <c r="N87" s="58">
        <v>46.673328618971595</v>
      </c>
      <c r="O87" s="58" t="s">
        <v>109</v>
      </c>
      <c r="P87" s="58">
        <v>82.52</v>
      </c>
      <c r="Q87" s="58">
        <v>4.3818120000000009</v>
      </c>
      <c r="R87" s="58">
        <v>3.8514830776375359</v>
      </c>
      <c r="S87" s="58">
        <v>2029</v>
      </c>
      <c r="T87" s="58">
        <v>72.290000000000006</v>
      </c>
      <c r="U87" s="58">
        <v>3.8385990000000012</v>
      </c>
      <c r="V87" s="58">
        <v>3.9043438482279216</v>
      </c>
      <c r="W87" s="58">
        <v>0.46458407413454406</v>
      </c>
      <c r="X87" s="59">
        <v>48975</v>
      </c>
      <c r="Y87" s="58">
        <v>2034</v>
      </c>
      <c r="Z87" s="58"/>
      <c r="AA87" s="58"/>
      <c r="AB87" s="58"/>
      <c r="AC87" s="58"/>
    </row>
    <row r="88" spans="1:29" x14ac:dyDescent="0.25">
      <c r="A88" s="58" t="s">
        <v>286</v>
      </c>
      <c r="B88" s="58" t="s">
        <v>369</v>
      </c>
      <c r="C88" s="58"/>
      <c r="D88" s="58" t="s">
        <v>205</v>
      </c>
      <c r="E88" s="58"/>
      <c r="F88" s="59"/>
      <c r="G88" s="58"/>
      <c r="H88" s="58"/>
      <c r="I88" s="58">
        <v>1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9"/>
      <c r="Y88" s="58"/>
      <c r="Z88" s="58"/>
      <c r="AA88" s="58"/>
      <c r="AB88" s="58"/>
      <c r="AC88" s="58"/>
    </row>
    <row r="89" spans="1:29" x14ac:dyDescent="0.25">
      <c r="A89" s="58" t="s">
        <v>287</v>
      </c>
      <c r="B89" s="58" t="s">
        <v>370</v>
      </c>
      <c r="C89" s="58" t="s">
        <v>116</v>
      </c>
      <c r="D89" s="58" t="s">
        <v>116</v>
      </c>
      <c r="E89" s="58" t="s">
        <v>24</v>
      </c>
      <c r="F89" s="59">
        <v>43617</v>
      </c>
      <c r="G89" s="58">
        <v>2019</v>
      </c>
      <c r="H89" s="58">
        <v>10</v>
      </c>
      <c r="I89" s="58">
        <v>1</v>
      </c>
      <c r="J89" s="58">
        <v>10</v>
      </c>
      <c r="K89" s="58">
        <v>3280.0001999999999</v>
      </c>
      <c r="L89" s="58">
        <v>32.800001999999999</v>
      </c>
      <c r="M89" s="58">
        <v>0.54924968703762067</v>
      </c>
      <c r="N89" s="58">
        <v>18.015390833333331</v>
      </c>
      <c r="O89" s="58" t="s">
        <v>117</v>
      </c>
      <c r="P89" s="58">
        <v>70.193169061392126</v>
      </c>
      <c r="Q89" s="58">
        <v>2.3023360855999999</v>
      </c>
      <c r="R89" s="58">
        <v>1.2645573744712206</v>
      </c>
      <c r="S89" s="58">
        <v>2039</v>
      </c>
      <c r="T89" s="58">
        <v>70.193169061392126</v>
      </c>
      <c r="U89" s="58">
        <v>2.3023360855999999</v>
      </c>
      <c r="V89" s="58">
        <v>2.3023360855999999</v>
      </c>
      <c r="W89" s="58">
        <v>1.0377787111287793</v>
      </c>
      <c r="X89" s="59">
        <v>50921</v>
      </c>
      <c r="Y89" s="58">
        <v>2039</v>
      </c>
      <c r="Z89" s="58"/>
      <c r="AA89" s="58"/>
      <c r="AB89" s="58"/>
      <c r="AC89" s="58"/>
    </row>
    <row r="90" spans="1:29" x14ac:dyDescent="0.25">
      <c r="A90" s="58" t="s">
        <v>288</v>
      </c>
      <c r="B90" s="58" t="s">
        <v>371</v>
      </c>
      <c r="C90" s="58" t="s">
        <v>118</v>
      </c>
      <c r="D90" s="58" t="s">
        <v>118</v>
      </c>
      <c r="E90" s="58" t="s">
        <v>24</v>
      </c>
      <c r="F90" s="59">
        <v>43800</v>
      </c>
      <c r="G90" s="58">
        <v>2019</v>
      </c>
      <c r="H90" s="58">
        <v>24.15</v>
      </c>
      <c r="I90" s="58">
        <v>1</v>
      </c>
      <c r="J90" s="58">
        <v>24.15</v>
      </c>
      <c r="K90" s="58">
        <v>3080.7453416149069</v>
      </c>
      <c r="L90" s="58">
        <v>74.400000000000006</v>
      </c>
      <c r="M90" s="58">
        <v>0.10740528095733611</v>
      </c>
      <c r="N90" s="58">
        <v>7.9909529032258071</v>
      </c>
      <c r="O90" s="58" t="s">
        <v>109</v>
      </c>
      <c r="P90" s="58">
        <v>82.52</v>
      </c>
      <c r="Q90" s="58">
        <v>6.1394880000000001</v>
      </c>
      <c r="R90" s="58">
        <v>0.65941343357419357</v>
      </c>
      <c r="S90" s="58">
        <v>2029</v>
      </c>
      <c r="T90" s="58">
        <v>53.962732919254648</v>
      </c>
      <c r="U90" s="58">
        <v>4.0148273291925465</v>
      </c>
      <c r="V90" s="58">
        <v>5.9112882237129227</v>
      </c>
      <c r="W90" s="58">
        <v>3.5836136719054297</v>
      </c>
      <c r="X90" s="59">
        <v>49278</v>
      </c>
      <c r="Y90" s="58">
        <v>2034</v>
      </c>
      <c r="Z90" s="58"/>
      <c r="AA90" s="58"/>
      <c r="AB90" s="58"/>
      <c r="AC90" s="58"/>
    </row>
    <row r="91" spans="1:29" x14ac:dyDescent="0.25">
      <c r="A91" s="58"/>
      <c r="B91" s="58"/>
      <c r="C91" s="60" t="s">
        <v>119</v>
      </c>
      <c r="D91" s="58" t="s">
        <v>119</v>
      </c>
      <c r="E91" s="58" t="s">
        <v>24</v>
      </c>
      <c r="F91" s="59">
        <v>43936</v>
      </c>
      <c r="G91" s="58">
        <v>2020</v>
      </c>
      <c r="H91" s="58">
        <v>-18</v>
      </c>
      <c r="I91" s="58">
        <v>1</v>
      </c>
      <c r="J91" s="58">
        <v>-18</v>
      </c>
      <c r="K91" s="58">
        <v>3033.3333333333335</v>
      </c>
      <c r="L91" s="58">
        <v>-54.6</v>
      </c>
      <c r="M91" s="58">
        <v>0.69780219780219777</v>
      </c>
      <c r="N91" s="58">
        <v>-0.89032258064516745</v>
      </c>
      <c r="O91" s="58" t="s">
        <v>120</v>
      </c>
      <c r="P91" s="58">
        <v>0</v>
      </c>
      <c r="Q91" s="58" t="s">
        <v>120</v>
      </c>
      <c r="R91" s="58" t="s">
        <v>120</v>
      </c>
      <c r="S91" s="58">
        <v>2020</v>
      </c>
      <c r="T91" s="58" t="s">
        <v>120</v>
      </c>
      <c r="U91" s="58" t="s">
        <v>120</v>
      </c>
      <c r="V91" s="58" t="s">
        <v>120</v>
      </c>
      <c r="W91" s="58" t="s">
        <v>120</v>
      </c>
      <c r="X91" s="59">
        <v>43936</v>
      </c>
      <c r="Y91" s="58">
        <v>2020</v>
      </c>
      <c r="Z91" s="58"/>
      <c r="AA91" s="58"/>
      <c r="AB91" s="58"/>
      <c r="AC91" s="58"/>
    </row>
    <row r="92" spans="1:29" x14ac:dyDescent="0.25">
      <c r="A92" s="58" t="s">
        <v>121</v>
      </c>
      <c r="B92" s="58" t="s">
        <v>372</v>
      </c>
      <c r="C92" s="58" t="s">
        <v>121</v>
      </c>
      <c r="D92" s="58" t="s">
        <v>121</v>
      </c>
      <c r="E92" s="58" t="s">
        <v>24</v>
      </c>
      <c r="F92" s="59">
        <v>44075</v>
      </c>
      <c r="G92" s="58">
        <v>2020</v>
      </c>
      <c r="H92" s="58">
        <v>15</v>
      </c>
      <c r="I92" s="58">
        <v>1</v>
      </c>
      <c r="J92" s="58">
        <v>15</v>
      </c>
      <c r="K92" s="58">
        <v>3050.1333333333332</v>
      </c>
      <c r="L92" s="58">
        <v>45.752000000000002</v>
      </c>
      <c r="M92" s="58">
        <v>0.36321333333333339</v>
      </c>
      <c r="N92" s="58">
        <v>16.617736426666671</v>
      </c>
      <c r="O92" s="58" t="s">
        <v>122</v>
      </c>
      <c r="P92" s="58">
        <v>69.849999999999994</v>
      </c>
      <c r="Q92" s="58">
        <v>3.1957772000000002</v>
      </c>
      <c r="R92" s="58">
        <v>1.160748889402667</v>
      </c>
      <c r="S92" s="58">
        <v>2040</v>
      </c>
      <c r="T92" s="58">
        <v>69.849999999999994</v>
      </c>
      <c r="U92" s="58">
        <v>3.1957772000000002</v>
      </c>
      <c r="V92" s="58">
        <v>3.1957772000000002</v>
      </c>
      <c r="W92" s="58">
        <v>2.0350283105973332</v>
      </c>
      <c r="X92" s="59">
        <v>51379</v>
      </c>
      <c r="Y92" s="58">
        <v>2040</v>
      </c>
      <c r="Z92" s="58"/>
      <c r="AA92" s="58"/>
      <c r="AB92" s="58"/>
      <c r="AC92" s="58"/>
    </row>
    <row r="93" spans="1:29" x14ac:dyDescent="0.25">
      <c r="A93" s="58" t="s">
        <v>289</v>
      </c>
      <c r="B93" s="58" t="s">
        <v>373</v>
      </c>
      <c r="C93" s="58" t="s">
        <v>123</v>
      </c>
      <c r="D93" s="58" t="s">
        <v>123</v>
      </c>
      <c r="E93" s="58" t="s">
        <v>24</v>
      </c>
      <c r="F93" s="59">
        <v>44136</v>
      </c>
      <c r="G93" s="58">
        <v>2020</v>
      </c>
      <c r="H93" s="58">
        <v>11</v>
      </c>
      <c r="I93" s="58">
        <v>1</v>
      </c>
      <c r="J93" s="58">
        <v>11</v>
      </c>
      <c r="K93" s="58">
        <v>2782.181818181818</v>
      </c>
      <c r="L93" s="58">
        <v>30.603999999999999</v>
      </c>
      <c r="M93" s="58">
        <v>0.19787604395544889</v>
      </c>
      <c r="N93" s="58">
        <v>6.0557984492125581</v>
      </c>
      <c r="O93" s="58" t="s">
        <v>117</v>
      </c>
      <c r="P93" s="58">
        <v>75.078133577310155</v>
      </c>
      <c r="Q93" s="58">
        <v>2.2976911999999996</v>
      </c>
      <c r="R93" s="58">
        <v>0.45465804488724815</v>
      </c>
      <c r="S93" s="58">
        <v>2040</v>
      </c>
      <c r="T93" s="58">
        <v>75.078133577310155</v>
      </c>
      <c r="U93" s="58">
        <v>2.2976911999999996</v>
      </c>
      <c r="V93" s="58">
        <v>2.2976911999999996</v>
      </c>
      <c r="W93" s="58">
        <v>1.8430331551127517</v>
      </c>
      <c r="X93" s="59">
        <v>51440</v>
      </c>
      <c r="Y93" s="58">
        <v>2040</v>
      </c>
      <c r="Z93" s="58"/>
      <c r="AA93" s="58"/>
      <c r="AB93" s="58"/>
      <c r="AC93" s="58"/>
    </row>
    <row r="94" spans="1:29" x14ac:dyDescent="0.25">
      <c r="A94" s="58" t="s">
        <v>290</v>
      </c>
      <c r="B94" s="58" t="s">
        <v>374</v>
      </c>
      <c r="C94" s="58" t="s">
        <v>124</v>
      </c>
      <c r="D94" s="58" t="s">
        <v>124</v>
      </c>
      <c r="E94" s="58" t="s">
        <v>24</v>
      </c>
      <c r="F94" s="59">
        <v>44166</v>
      </c>
      <c r="G94" s="58">
        <v>2020</v>
      </c>
      <c r="H94" s="58">
        <v>17.25</v>
      </c>
      <c r="I94" s="58">
        <v>1</v>
      </c>
      <c r="J94" s="58">
        <v>17.25</v>
      </c>
      <c r="K94" s="58">
        <v>2649.2753623188405</v>
      </c>
      <c r="L94" s="58">
        <v>45.7</v>
      </c>
      <c r="M94" s="58">
        <v>0.10790865454771144</v>
      </c>
      <c r="N94" s="58">
        <v>4.9314255128304127</v>
      </c>
      <c r="O94" s="58" t="s">
        <v>122</v>
      </c>
      <c r="P94" s="58">
        <v>65.900000000000006</v>
      </c>
      <c r="Q94" s="58">
        <v>3.0116300000000007</v>
      </c>
      <c r="R94" s="58">
        <v>0.32498094129552424</v>
      </c>
      <c r="S94" s="58">
        <v>2040</v>
      </c>
      <c r="T94" s="58">
        <v>65.900000000000006</v>
      </c>
      <c r="U94" s="58">
        <v>3.0116300000000007</v>
      </c>
      <c r="V94" s="58">
        <v>3.0116300000000007</v>
      </c>
      <c r="W94" s="58">
        <v>2.686649058704476</v>
      </c>
      <c r="X94" s="59">
        <v>51470</v>
      </c>
      <c r="Y94" s="58">
        <v>2040</v>
      </c>
      <c r="Z94" s="58"/>
      <c r="AA94" s="58"/>
      <c r="AB94" s="58"/>
      <c r="AC94" s="58"/>
    </row>
    <row r="95" spans="1:29" x14ac:dyDescent="0.25">
      <c r="A95" s="58" t="s">
        <v>291</v>
      </c>
      <c r="B95" s="58" t="s">
        <v>375</v>
      </c>
      <c r="C95" s="58" t="s">
        <v>125</v>
      </c>
      <c r="D95" s="58" t="s">
        <v>125</v>
      </c>
      <c r="E95" s="58" t="s">
        <v>24</v>
      </c>
      <c r="F95" s="59">
        <v>44197</v>
      </c>
      <c r="G95" s="58">
        <v>2021</v>
      </c>
      <c r="H95" s="58">
        <v>35.35</v>
      </c>
      <c r="I95" s="58">
        <v>1</v>
      </c>
      <c r="J95" s="58">
        <v>35.35</v>
      </c>
      <c r="K95" s="58">
        <v>2746.8175388967466</v>
      </c>
      <c r="L95" s="58">
        <v>97.1</v>
      </c>
      <c r="M95" s="58">
        <v>0.99734136830911024</v>
      </c>
      <c r="N95" s="58">
        <v>96.841846862814606</v>
      </c>
      <c r="O95" s="58" t="s">
        <v>122</v>
      </c>
      <c r="P95" s="58">
        <v>72.849999999999994</v>
      </c>
      <c r="Q95" s="58">
        <v>7.0737349999999983</v>
      </c>
      <c r="R95" s="58">
        <v>7.0549285439560432</v>
      </c>
      <c r="S95" s="58">
        <v>2041</v>
      </c>
      <c r="T95" s="58">
        <v>72.849999999999994</v>
      </c>
      <c r="U95" s="58">
        <v>7.0737349999999983</v>
      </c>
      <c r="V95" s="58">
        <v>7.0737349999999983</v>
      </c>
      <c r="W95" s="58">
        <v>1.880645604395555E-2</v>
      </c>
      <c r="X95" s="59">
        <v>51501</v>
      </c>
      <c r="Y95" s="58">
        <v>2040</v>
      </c>
      <c r="Z95" s="58"/>
      <c r="AA95" s="58"/>
      <c r="AB95" s="58"/>
      <c r="AC95" s="58"/>
    </row>
    <row r="96" spans="1:29" x14ac:dyDescent="0.25">
      <c r="A96" s="58" t="s">
        <v>292</v>
      </c>
      <c r="B96" s="58" t="s">
        <v>126</v>
      </c>
      <c r="C96" s="58" t="s">
        <v>126</v>
      </c>
      <c r="D96" s="58" t="s">
        <v>126</v>
      </c>
      <c r="E96" s="58" t="s">
        <v>24</v>
      </c>
      <c r="F96" s="59">
        <v>44317</v>
      </c>
      <c r="G96" s="58">
        <v>2021</v>
      </c>
      <c r="H96" s="58">
        <v>12</v>
      </c>
      <c r="I96" s="58">
        <v>1</v>
      </c>
      <c r="J96" s="58">
        <v>12</v>
      </c>
      <c r="K96" s="58">
        <v>2658.3333333333335</v>
      </c>
      <c r="L96" s="58">
        <v>31.9</v>
      </c>
      <c r="M96" s="58">
        <v>0.60236785848612029</v>
      </c>
      <c r="N96" s="58">
        <v>19.215534685707237</v>
      </c>
      <c r="O96" s="58" t="s">
        <v>117</v>
      </c>
      <c r="P96" s="58">
        <v>74.8</v>
      </c>
      <c r="Q96" s="58">
        <v>2.38612</v>
      </c>
      <c r="R96" s="58">
        <v>1.4373219944909013</v>
      </c>
      <c r="S96" s="58">
        <v>2041</v>
      </c>
      <c r="T96" s="58">
        <v>74.8</v>
      </c>
      <c r="U96" s="58">
        <v>2.38612</v>
      </c>
      <c r="V96" s="58">
        <v>2.38612</v>
      </c>
      <c r="W96" s="58">
        <v>0.94879800550909854</v>
      </c>
      <c r="X96" s="59">
        <v>51621</v>
      </c>
      <c r="Y96" s="58">
        <v>2041</v>
      </c>
      <c r="Z96" s="58"/>
      <c r="AA96" s="58"/>
      <c r="AB96" s="58"/>
      <c r="AC96" s="58"/>
    </row>
    <row r="97" spans="1:29" x14ac:dyDescent="0.25">
      <c r="A97" s="58" t="s">
        <v>293</v>
      </c>
      <c r="B97" s="58" t="s">
        <v>376</v>
      </c>
      <c r="C97" s="58" t="s">
        <v>127</v>
      </c>
      <c r="D97" s="58" t="s">
        <v>127</v>
      </c>
      <c r="E97" s="58" t="s">
        <v>24</v>
      </c>
      <c r="F97" s="59">
        <v>44440</v>
      </c>
      <c r="G97" s="58">
        <v>2021</v>
      </c>
      <c r="H97" s="58">
        <v>13.8</v>
      </c>
      <c r="I97" s="58">
        <v>1</v>
      </c>
      <c r="J97" s="58">
        <v>13.8</v>
      </c>
      <c r="K97" s="58">
        <v>2905.797101449275</v>
      </c>
      <c r="L97" s="58">
        <v>40.1</v>
      </c>
      <c r="M97" s="58">
        <v>0.36642228452210196</v>
      </c>
      <c r="N97" s="58">
        <v>14.693533609336288</v>
      </c>
      <c r="O97" s="58" t="s">
        <v>122</v>
      </c>
      <c r="P97" s="58">
        <v>67.900000000000006</v>
      </c>
      <c r="Q97" s="58">
        <v>2.7227900000000003</v>
      </c>
      <c r="R97" s="58">
        <v>0.997690932073934</v>
      </c>
      <c r="S97" s="58">
        <v>2041</v>
      </c>
      <c r="T97" s="58">
        <v>67.900000000000006</v>
      </c>
      <c r="U97" s="58">
        <v>2.7227900000000003</v>
      </c>
      <c r="V97" s="58">
        <v>2.7227900000000003</v>
      </c>
      <c r="W97" s="58">
        <v>1.7250990679260663</v>
      </c>
      <c r="X97" s="59">
        <v>51744</v>
      </c>
      <c r="Y97" s="58">
        <v>2041</v>
      </c>
      <c r="Z97" s="58"/>
      <c r="AA97" s="58"/>
      <c r="AB97" s="58"/>
      <c r="AC97" s="58"/>
    </row>
    <row r="98" spans="1:29" x14ac:dyDescent="0.25">
      <c r="A98" s="58" t="s">
        <v>294</v>
      </c>
      <c r="B98" s="58" t="s">
        <v>377</v>
      </c>
      <c r="C98" s="58" t="s">
        <v>128</v>
      </c>
      <c r="D98" s="58" t="s">
        <v>128</v>
      </c>
      <c r="E98" s="58" t="s">
        <v>73</v>
      </c>
      <c r="F98" s="59">
        <v>44470</v>
      </c>
      <c r="G98" s="58">
        <v>2021</v>
      </c>
      <c r="H98" s="58">
        <v>14.66</v>
      </c>
      <c r="I98" s="58">
        <v>1</v>
      </c>
      <c r="J98" s="58">
        <v>14.66</v>
      </c>
      <c r="K98" s="58">
        <v>1512.9604365620737</v>
      </c>
      <c r="L98" s="58">
        <v>22.18</v>
      </c>
      <c r="M98" s="58">
        <v>0.13651459594479287</v>
      </c>
      <c r="N98" s="58">
        <v>3.0278937380555058</v>
      </c>
      <c r="O98" s="58" t="s">
        <v>122</v>
      </c>
      <c r="P98" s="58">
        <v>59.9</v>
      </c>
      <c r="Q98" s="58">
        <v>1.3285819999999999</v>
      </c>
      <c r="R98" s="58">
        <v>0.1813708349095248</v>
      </c>
      <c r="S98" s="58">
        <v>2041</v>
      </c>
      <c r="T98" s="58">
        <v>59.9</v>
      </c>
      <c r="U98" s="58">
        <v>1.3285819999999999</v>
      </c>
      <c r="V98" s="58">
        <v>1.3285819999999999</v>
      </c>
      <c r="W98" s="58">
        <v>1.147211165090475</v>
      </c>
      <c r="X98" s="59">
        <v>51774</v>
      </c>
      <c r="Y98" s="58">
        <v>2041</v>
      </c>
      <c r="Z98" s="58"/>
      <c r="AA98" s="58"/>
      <c r="AB98" s="58"/>
      <c r="AC98" s="58"/>
    </row>
    <row r="99" spans="1:29" x14ac:dyDescent="0.25">
      <c r="A99" s="58" t="s">
        <v>295</v>
      </c>
      <c r="B99" s="58" t="s">
        <v>378</v>
      </c>
      <c r="C99" s="58" t="s">
        <v>129</v>
      </c>
      <c r="D99" s="58" t="s">
        <v>129</v>
      </c>
      <c r="E99" s="58" t="s">
        <v>73</v>
      </c>
      <c r="F99" s="59">
        <v>44501</v>
      </c>
      <c r="G99" s="58">
        <v>2021</v>
      </c>
      <c r="H99" s="58">
        <v>12.53</v>
      </c>
      <c r="I99" s="58">
        <v>1</v>
      </c>
      <c r="J99" s="58">
        <v>12.53</v>
      </c>
      <c r="K99" s="58">
        <v>1413.4078212290503</v>
      </c>
      <c r="L99" s="58">
        <v>17.71</v>
      </c>
      <c r="M99" s="58">
        <v>4.8786478995596155E-2</v>
      </c>
      <c r="N99" s="58">
        <v>0.86400854301200791</v>
      </c>
      <c r="O99" s="58" t="s">
        <v>122</v>
      </c>
      <c r="P99" s="58">
        <v>58</v>
      </c>
      <c r="Q99" s="58">
        <v>1.02718</v>
      </c>
      <c r="R99" s="58">
        <v>5.0112495494696457E-2</v>
      </c>
      <c r="S99" s="58">
        <v>2041</v>
      </c>
      <c r="T99" s="58">
        <v>58</v>
      </c>
      <c r="U99" s="58">
        <v>1.02718</v>
      </c>
      <c r="V99" s="58">
        <v>1.02718</v>
      </c>
      <c r="W99" s="58">
        <v>0.97706750450530355</v>
      </c>
      <c r="X99" s="59">
        <v>51805</v>
      </c>
      <c r="Y99" s="58">
        <v>2041</v>
      </c>
      <c r="Z99" s="58"/>
      <c r="AA99" s="58"/>
      <c r="AB99" s="58"/>
      <c r="AC99" s="58"/>
    </row>
    <row r="100" spans="1:29" x14ac:dyDescent="0.25">
      <c r="A100" s="58"/>
      <c r="B100" s="58"/>
      <c r="C100" s="60" t="s">
        <v>130</v>
      </c>
      <c r="D100" s="58" t="s">
        <v>130</v>
      </c>
      <c r="E100" s="58" t="s">
        <v>24</v>
      </c>
      <c r="F100" s="59">
        <v>44501</v>
      </c>
      <c r="G100" s="58">
        <v>2021</v>
      </c>
      <c r="H100" s="58">
        <v>-12</v>
      </c>
      <c r="I100" s="58">
        <v>1</v>
      </c>
      <c r="J100" s="58">
        <v>-12</v>
      </c>
      <c r="K100" s="58">
        <v>1983.3332499999999</v>
      </c>
      <c r="L100" s="58">
        <v>-23.799999</v>
      </c>
      <c r="M100" s="58">
        <v>0.20608324115195686</v>
      </c>
      <c r="N100" s="58">
        <v>-4.9047809333333321</v>
      </c>
      <c r="O100" s="58" t="s">
        <v>120</v>
      </c>
      <c r="P100" s="58">
        <v>0</v>
      </c>
      <c r="Q100" s="58" t="s">
        <v>120</v>
      </c>
      <c r="R100" s="58" t="s">
        <v>120</v>
      </c>
      <c r="S100" s="58">
        <v>2021</v>
      </c>
      <c r="T100" s="58" t="s">
        <v>120</v>
      </c>
      <c r="U100" s="58" t="s">
        <v>120</v>
      </c>
      <c r="V100" s="58" t="s">
        <v>120</v>
      </c>
      <c r="W100" s="58" t="s">
        <v>120</v>
      </c>
      <c r="X100" s="59">
        <v>44501</v>
      </c>
      <c r="Y100" s="58">
        <v>2021</v>
      </c>
      <c r="Z100" s="58"/>
      <c r="AA100" s="58"/>
      <c r="AB100" s="58"/>
      <c r="AC100" s="58"/>
    </row>
    <row r="101" spans="1:29" x14ac:dyDescent="0.25">
      <c r="A101" s="58"/>
      <c r="B101" s="58"/>
      <c r="C101" s="60" t="s">
        <v>131</v>
      </c>
      <c r="D101" s="58" t="s">
        <v>131</v>
      </c>
      <c r="E101" s="58" t="s">
        <v>24</v>
      </c>
      <c r="F101" s="59">
        <v>44501</v>
      </c>
      <c r="G101" s="58">
        <v>2021</v>
      </c>
      <c r="H101" s="58">
        <v>-12</v>
      </c>
      <c r="I101" s="58">
        <v>1</v>
      </c>
      <c r="J101" s="58">
        <v>-12</v>
      </c>
      <c r="K101" s="58">
        <v>1958.333333333333</v>
      </c>
      <c r="L101" s="58">
        <v>-23.499999999999996</v>
      </c>
      <c r="M101" s="58">
        <v>0.20641655177304954</v>
      </c>
      <c r="N101" s="58">
        <v>-4.8507889666666637</v>
      </c>
      <c r="O101" s="58" t="s">
        <v>120</v>
      </c>
      <c r="P101" s="58">
        <v>0</v>
      </c>
      <c r="Q101" s="58" t="s">
        <v>120</v>
      </c>
      <c r="R101" s="58" t="s">
        <v>120</v>
      </c>
      <c r="S101" s="58">
        <v>2021</v>
      </c>
      <c r="T101" s="58" t="s">
        <v>120</v>
      </c>
      <c r="U101" s="58" t="s">
        <v>120</v>
      </c>
      <c r="V101" s="58" t="s">
        <v>120</v>
      </c>
      <c r="W101" s="58" t="s">
        <v>120</v>
      </c>
      <c r="X101" s="59">
        <v>44501</v>
      </c>
      <c r="Y101" s="58">
        <v>2021</v>
      </c>
      <c r="Z101" s="58"/>
      <c r="AA101" s="58"/>
      <c r="AB101" s="58"/>
      <c r="AC101" s="58"/>
    </row>
    <row r="102" spans="1:29" x14ac:dyDescent="0.25">
      <c r="A102" s="58" t="s">
        <v>296</v>
      </c>
      <c r="B102" s="58" t="s">
        <v>379</v>
      </c>
      <c r="C102" s="58" t="s">
        <v>132</v>
      </c>
      <c r="D102" s="58" t="s">
        <v>132</v>
      </c>
      <c r="E102" s="58" t="s">
        <v>24</v>
      </c>
      <c r="F102" s="59">
        <v>44531</v>
      </c>
      <c r="G102" s="58">
        <v>2021</v>
      </c>
      <c r="H102" s="58">
        <v>8.8000000000000007</v>
      </c>
      <c r="I102" s="58">
        <v>1</v>
      </c>
      <c r="J102" s="58">
        <v>8.8000000000000007</v>
      </c>
      <c r="K102" s="58">
        <v>2544.3181818181815</v>
      </c>
      <c r="L102" s="58">
        <v>22.39</v>
      </c>
      <c r="M102" s="58">
        <v>0.10366281915761544</v>
      </c>
      <c r="N102" s="58">
        <v>2.3210105209390095</v>
      </c>
      <c r="O102" s="58" t="s">
        <v>117</v>
      </c>
      <c r="P102" s="58">
        <v>74.8</v>
      </c>
      <c r="Q102" s="58">
        <v>1.6747719999999999</v>
      </c>
      <c r="R102" s="58">
        <v>0.17361158696623791</v>
      </c>
      <c r="S102" s="58">
        <v>2041</v>
      </c>
      <c r="T102" s="58">
        <v>74.8</v>
      </c>
      <c r="U102" s="58">
        <v>1.6747719999999999</v>
      </c>
      <c r="V102" s="58">
        <v>1.6747719999999999</v>
      </c>
      <c r="W102" s="58">
        <v>1.5011604130337621</v>
      </c>
      <c r="X102" s="59">
        <v>51835</v>
      </c>
      <c r="Y102" s="58">
        <v>2041</v>
      </c>
      <c r="Z102" s="58"/>
      <c r="AA102" s="58"/>
      <c r="AB102" s="58"/>
      <c r="AC102" s="58"/>
    </row>
    <row r="103" spans="1:29" x14ac:dyDescent="0.25">
      <c r="A103" s="58"/>
      <c r="B103" s="58"/>
      <c r="C103" s="60" t="s">
        <v>133</v>
      </c>
      <c r="D103" s="58" t="s">
        <v>133</v>
      </c>
      <c r="E103" s="58" t="s">
        <v>24</v>
      </c>
      <c r="F103" s="59">
        <v>44622.25</v>
      </c>
      <c r="G103" s="58">
        <v>2022</v>
      </c>
      <c r="H103" s="58">
        <v>-12</v>
      </c>
      <c r="I103" s="58">
        <v>1</v>
      </c>
      <c r="J103" s="58">
        <v>-12</v>
      </c>
      <c r="K103" s="58">
        <v>1558.3332499999997</v>
      </c>
      <c r="L103" s="58">
        <v>-18.699998999999995</v>
      </c>
      <c r="M103" s="58">
        <v>0.76456417578314539</v>
      </c>
      <c r="N103" s="58">
        <v>-14.297349322580638</v>
      </c>
      <c r="O103" s="58" t="s">
        <v>120</v>
      </c>
      <c r="P103" s="58">
        <v>0</v>
      </c>
      <c r="Q103" s="58" t="s">
        <v>120</v>
      </c>
      <c r="R103" s="58" t="s">
        <v>120</v>
      </c>
      <c r="S103" s="58">
        <v>2022</v>
      </c>
      <c r="T103" s="58" t="s">
        <v>120</v>
      </c>
      <c r="U103" s="58" t="s">
        <v>120</v>
      </c>
      <c r="V103" s="58" t="s">
        <v>120</v>
      </c>
      <c r="W103" s="58" t="s">
        <v>120</v>
      </c>
      <c r="X103" s="59">
        <v>44622.25</v>
      </c>
      <c r="Y103" s="58">
        <v>2022</v>
      </c>
      <c r="Z103" s="58"/>
      <c r="AA103" s="58"/>
      <c r="AB103" s="58"/>
      <c r="AC103" s="58"/>
    </row>
    <row r="104" spans="1:29" x14ac:dyDescent="0.25">
      <c r="A104" s="58" t="s">
        <v>297</v>
      </c>
      <c r="B104" s="58" t="s">
        <v>380</v>
      </c>
      <c r="C104" s="58" t="s">
        <v>134</v>
      </c>
      <c r="D104" s="58" t="s">
        <v>134</v>
      </c>
      <c r="E104" s="58" t="s">
        <v>24</v>
      </c>
      <c r="F104" s="59">
        <v>44713</v>
      </c>
      <c r="G104" s="58">
        <v>2022</v>
      </c>
      <c r="H104" s="58">
        <v>14.4</v>
      </c>
      <c r="I104" s="58">
        <v>0.8</v>
      </c>
      <c r="J104" s="58">
        <v>11.520000000000001</v>
      </c>
      <c r="K104" s="58">
        <v>2820</v>
      </c>
      <c r="L104" s="58">
        <v>32.486400000000003</v>
      </c>
      <c r="M104" s="58">
        <v>0.53351025070771352</v>
      </c>
      <c r="N104" s="58">
        <v>17.331827408591067</v>
      </c>
      <c r="O104" s="58" t="s">
        <v>117</v>
      </c>
      <c r="P104" s="58">
        <v>74.8</v>
      </c>
      <c r="Q104" s="58">
        <v>2.4299827199999999</v>
      </c>
      <c r="R104" s="58">
        <v>1.2964206901626119</v>
      </c>
      <c r="S104" s="58">
        <v>2042</v>
      </c>
      <c r="T104" s="58">
        <v>74.8</v>
      </c>
      <c r="U104" s="58">
        <v>2.4299827199999999</v>
      </c>
      <c r="V104" s="58">
        <v>2.4299827199999999</v>
      </c>
      <c r="W104" s="58">
        <v>1.1335620298373883</v>
      </c>
      <c r="X104" s="59">
        <v>52017</v>
      </c>
      <c r="Y104" s="58">
        <v>2042</v>
      </c>
      <c r="Z104" s="58"/>
      <c r="AA104" s="58"/>
      <c r="AB104" s="58"/>
      <c r="AC104" s="58"/>
    </row>
    <row r="105" spans="1:29" x14ac:dyDescent="0.25">
      <c r="A105" s="58" t="s">
        <v>298</v>
      </c>
      <c r="B105" s="58" t="s">
        <v>381</v>
      </c>
      <c r="C105" s="58" t="s">
        <v>135</v>
      </c>
      <c r="D105" s="58" t="s">
        <v>135</v>
      </c>
      <c r="E105" s="58" t="s">
        <v>24</v>
      </c>
      <c r="F105" s="59">
        <v>44713</v>
      </c>
      <c r="G105" s="58">
        <v>2022</v>
      </c>
      <c r="H105" s="58">
        <v>14.4</v>
      </c>
      <c r="I105" s="58">
        <v>0.8</v>
      </c>
      <c r="J105" s="58">
        <v>11.520000000000001</v>
      </c>
      <c r="K105" s="58">
        <v>2905</v>
      </c>
      <c r="L105" s="58">
        <v>33.465600000000009</v>
      </c>
      <c r="M105" s="58">
        <v>0.53360760567375887</v>
      </c>
      <c r="N105" s="58">
        <v>17.857498688435751</v>
      </c>
      <c r="O105" s="58" t="s">
        <v>117</v>
      </c>
      <c r="P105" s="58">
        <v>74.8</v>
      </c>
      <c r="Q105" s="58">
        <v>2.5032268800000006</v>
      </c>
      <c r="R105" s="58">
        <v>1.3357409018949942</v>
      </c>
      <c r="S105" s="58">
        <v>2042</v>
      </c>
      <c r="T105" s="58">
        <v>74.8</v>
      </c>
      <c r="U105" s="58">
        <v>2.5032268800000006</v>
      </c>
      <c r="V105" s="58">
        <v>2.5032268800000006</v>
      </c>
      <c r="W105" s="58">
        <v>1.1674859781050066</v>
      </c>
      <c r="X105" s="59">
        <v>52017</v>
      </c>
      <c r="Y105" s="58">
        <v>2042</v>
      </c>
      <c r="Z105" s="58"/>
      <c r="AA105" s="58"/>
      <c r="AB105" s="58"/>
      <c r="AC105" s="58"/>
    </row>
    <row r="106" spans="1:29" x14ac:dyDescent="0.25">
      <c r="A106" s="58" t="s">
        <v>299</v>
      </c>
      <c r="B106" s="58" t="s">
        <v>382</v>
      </c>
      <c r="C106" s="58" t="s">
        <v>136</v>
      </c>
      <c r="D106" s="58" t="s">
        <v>136</v>
      </c>
      <c r="E106" s="58" t="s">
        <v>24</v>
      </c>
      <c r="F106" s="59">
        <v>44805</v>
      </c>
      <c r="G106" s="58">
        <v>2022</v>
      </c>
      <c r="H106" s="58">
        <v>25.2</v>
      </c>
      <c r="I106" s="58">
        <v>0.8</v>
      </c>
      <c r="J106" s="58">
        <v>20.16</v>
      </c>
      <c r="K106" s="58">
        <v>2055.5238095238096</v>
      </c>
      <c r="L106" s="58">
        <v>41.439360000000001</v>
      </c>
      <c r="M106" s="58">
        <v>0.36451587234042548</v>
      </c>
      <c r="N106" s="58">
        <v>15.105304459628934</v>
      </c>
      <c r="O106" s="58" t="s">
        <v>122</v>
      </c>
      <c r="P106" s="58">
        <v>63.8</v>
      </c>
      <c r="Q106" s="58">
        <v>2.6438311679999997</v>
      </c>
      <c r="R106" s="58">
        <v>0.96371842452432599</v>
      </c>
      <c r="S106" s="58">
        <v>2042</v>
      </c>
      <c r="T106" s="58">
        <v>63.8</v>
      </c>
      <c r="U106" s="58">
        <v>2.6438311679999997</v>
      </c>
      <c r="V106" s="58">
        <v>2.6438311679999997</v>
      </c>
      <c r="W106" s="58">
        <v>1.680112743475674</v>
      </c>
      <c r="X106" s="59">
        <v>52109</v>
      </c>
      <c r="Y106" s="58">
        <v>2042</v>
      </c>
      <c r="Z106" s="58"/>
      <c r="AA106" s="58"/>
      <c r="AB106" s="58"/>
      <c r="AC106" s="58"/>
    </row>
    <row r="107" spans="1:29" x14ac:dyDescent="0.25">
      <c r="A107" s="58"/>
      <c r="B107" s="58"/>
      <c r="C107" s="60" t="s">
        <v>137</v>
      </c>
      <c r="D107" s="58" t="s">
        <v>137</v>
      </c>
      <c r="E107" s="58" t="s">
        <v>24</v>
      </c>
      <c r="F107" s="59">
        <v>44803.666666666664</v>
      </c>
      <c r="G107" s="58">
        <v>2022</v>
      </c>
      <c r="H107" s="58">
        <v>-12</v>
      </c>
      <c r="I107" s="58">
        <v>1</v>
      </c>
      <c r="J107" s="58">
        <v>-12</v>
      </c>
      <c r="K107" s="58">
        <v>1800.0000833333334</v>
      </c>
      <c r="L107" s="58">
        <v>-21.600000999999999</v>
      </c>
      <c r="M107" s="58">
        <v>0.36698883605637111</v>
      </c>
      <c r="N107" s="58">
        <v>-7.9269592258064518</v>
      </c>
      <c r="O107" s="58" t="s">
        <v>120</v>
      </c>
      <c r="P107" s="58">
        <v>0</v>
      </c>
      <c r="Q107" s="58" t="s">
        <v>120</v>
      </c>
      <c r="R107" s="58" t="s">
        <v>120</v>
      </c>
      <c r="S107" s="58">
        <v>2022</v>
      </c>
      <c r="T107" s="58" t="s">
        <v>120</v>
      </c>
      <c r="U107" s="58" t="s">
        <v>120</v>
      </c>
      <c r="V107" s="58" t="s">
        <v>120</v>
      </c>
      <c r="W107" s="58" t="s">
        <v>120</v>
      </c>
      <c r="X107" s="59">
        <v>44803.666666666664</v>
      </c>
      <c r="Y107" s="58">
        <v>2022</v>
      </c>
      <c r="Z107" s="58"/>
      <c r="AA107" s="58"/>
      <c r="AB107" s="58"/>
      <c r="AC107" s="58"/>
    </row>
    <row r="108" spans="1:29" x14ac:dyDescent="0.25">
      <c r="A108" s="58" t="s">
        <v>300</v>
      </c>
      <c r="B108" s="58" t="s">
        <v>383</v>
      </c>
      <c r="C108" s="58" t="s">
        <v>138</v>
      </c>
      <c r="D108" s="58" t="s">
        <v>138</v>
      </c>
      <c r="E108" s="58" t="s">
        <v>24</v>
      </c>
      <c r="F108" s="59">
        <v>44896</v>
      </c>
      <c r="G108" s="58">
        <v>2022</v>
      </c>
      <c r="H108" s="58">
        <v>18</v>
      </c>
      <c r="I108" s="58">
        <v>0.8</v>
      </c>
      <c r="J108" s="58">
        <v>14.4</v>
      </c>
      <c r="K108" s="58">
        <v>2571</v>
      </c>
      <c r="L108" s="58">
        <v>37.022400000000005</v>
      </c>
      <c r="M108" s="58">
        <v>0.1125725090387229</v>
      </c>
      <c r="N108" s="58">
        <v>4.1677044586352157</v>
      </c>
      <c r="O108" s="58" t="s">
        <v>117</v>
      </c>
      <c r="P108" s="58">
        <v>74.8</v>
      </c>
      <c r="Q108" s="58">
        <v>2.7692755200000003</v>
      </c>
      <c r="R108" s="58">
        <v>0.31174429350591415</v>
      </c>
      <c r="S108" s="58">
        <v>2042</v>
      </c>
      <c r="T108" s="58">
        <v>74.8</v>
      </c>
      <c r="U108" s="58">
        <v>2.7692755200000003</v>
      </c>
      <c r="V108" s="58">
        <v>2.7692755200000008</v>
      </c>
      <c r="W108" s="58">
        <v>2.4575312264940861</v>
      </c>
      <c r="X108" s="59">
        <v>52200</v>
      </c>
      <c r="Y108" s="58">
        <v>2042</v>
      </c>
      <c r="Z108" s="58"/>
      <c r="AA108" s="58"/>
      <c r="AB108" s="58"/>
      <c r="AC108" s="58"/>
    </row>
    <row r="109" spans="1:29" x14ac:dyDescent="0.25">
      <c r="A109" s="58" t="s">
        <v>301</v>
      </c>
      <c r="B109" s="58" t="s">
        <v>139</v>
      </c>
      <c r="C109" s="58" t="s">
        <v>139</v>
      </c>
      <c r="D109" s="58" t="s">
        <v>139</v>
      </c>
      <c r="E109" s="58" t="s">
        <v>24</v>
      </c>
      <c r="F109" s="59">
        <v>45078</v>
      </c>
      <c r="G109" s="58">
        <v>2023</v>
      </c>
      <c r="H109" s="58">
        <v>10</v>
      </c>
      <c r="I109" s="58">
        <v>0.7</v>
      </c>
      <c r="J109" s="58">
        <v>7</v>
      </c>
      <c r="K109" s="58">
        <v>2030</v>
      </c>
      <c r="L109" s="58">
        <v>14.21</v>
      </c>
      <c r="M109" s="58">
        <v>0.53194957908966622</v>
      </c>
      <c r="N109" s="58">
        <v>7.5590035188641576</v>
      </c>
      <c r="O109" s="58" t="s">
        <v>117</v>
      </c>
      <c r="P109" s="58">
        <v>74.8</v>
      </c>
      <c r="Q109" s="58">
        <v>1.0629080000000002</v>
      </c>
      <c r="R109" s="58">
        <v>0.56541346321103902</v>
      </c>
      <c r="S109" s="58">
        <v>2043</v>
      </c>
      <c r="T109" s="58">
        <v>74.8</v>
      </c>
      <c r="U109" s="58">
        <v>1.0629080000000002</v>
      </c>
      <c r="V109" s="58">
        <v>1.0629080000000002</v>
      </c>
      <c r="W109" s="58">
        <v>0.49749453678896105</v>
      </c>
      <c r="X109" s="59">
        <v>52382</v>
      </c>
      <c r="Y109" s="58">
        <v>2043</v>
      </c>
      <c r="Z109" s="58"/>
      <c r="AA109" s="58"/>
      <c r="AB109" s="58"/>
      <c r="AC109" s="58"/>
    </row>
    <row r="110" spans="1:29" x14ac:dyDescent="0.25">
      <c r="A110" s="58" t="s">
        <v>302</v>
      </c>
      <c r="B110" s="58" t="s">
        <v>140</v>
      </c>
      <c r="C110" s="58" t="s">
        <v>140</v>
      </c>
      <c r="D110" s="58" t="s">
        <v>140</v>
      </c>
      <c r="E110" s="58" t="s">
        <v>24</v>
      </c>
      <c r="F110" s="59">
        <v>45078</v>
      </c>
      <c r="G110" s="58">
        <v>2023</v>
      </c>
      <c r="H110" s="58">
        <v>12</v>
      </c>
      <c r="I110" s="58">
        <v>0.7</v>
      </c>
      <c r="J110" s="58">
        <v>8.3999999999999986</v>
      </c>
      <c r="K110" s="58">
        <v>2200</v>
      </c>
      <c r="L110" s="58">
        <v>18.479999999999997</v>
      </c>
      <c r="M110" s="58">
        <v>0.53194957908966622</v>
      </c>
      <c r="N110" s="58">
        <v>9.83042822157703</v>
      </c>
      <c r="O110" s="58" t="s">
        <v>117</v>
      </c>
      <c r="P110" s="58">
        <v>74.8</v>
      </c>
      <c r="Q110" s="58">
        <v>1.3823039999999995</v>
      </c>
      <c r="R110" s="58">
        <v>0.73531603097396181</v>
      </c>
      <c r="S110" s="58">
        <v>2043</v>
      </c>
      <c r="T110" s="58">
        <v>74.8</v>
      </c>
      <c r="U110" s="58">
        <v>1.3823039999999995</v>
      </c>
      <c r="V110" s="58">
        <v>1.3823039999999995</v>
      </c>
      <c r="W110" s="58">
        <v>0.64698796902603795</v>
      </c>
      <c r="X110" s="59">
        <v>52382</v>
      </c>
      <c r="Y110" s="58">
        <v>2043</v>
      </c>
      <c r="Z110" s="58"/>
      <c r="AA110" s="58"/>
      <c r="AB110" s="58"/>
      <c r="AC110" s="58"/>
    </row>
    <row r="111" spans="1:29" x14ac:dyDescent="0.25">
      <c r="A111" s="58" t="s">
        <v>303</v>
      </c>
      <c r="B111" s="58" t="s">
        <v>384</v>
      </c>
      <c r="C111" s="58" t="s">
        <v>141</v>
      </c>
      <c r="D111" s="58" t="s">
        <v>141</v>
      </c>
      <c r="E111" s="58" t="s">
        <v>24</v>
      </c>
      <c r="F111" s="59">
        <v>45078</v>
      </c>
      <c r="G111" s="58">
        <v>2023</v>
      </c>
      <c r="H111" s="58">
        <v>15</v>
      </c>
      <c r="I111" s="58">
        <v>0.7</v>
      </c>
      <c r="J111" s="58">
        <v>10.5</v>
      </c>
      <c r="K111" s="58">
        <v>2225</v>
      </c>
      <c r="L111" s="58">
        <v>23.362500000000001</v>
      </c>
      <c r="M111" s="58">
        <v>0.55889333333333335</v>
      </c>
      <c r="N111" s="58">
        <v>13.057145500000001</v>
      </c>
      <c r="O111" s="58" t="s">
        <v>117</v>
      </c>
      <c r="P111" s="58">
        <v>74.8</v>
      </c>
      <c r="Q111" s="58">
        <v>1.7475150000000002</v>
      </c>
      <c r="R111" s="58">
        <v>0.97667448339999996</v>
      </c>
      <c r="S111" s="58">
        <v>2043</v>
      </c>
      <c r="T111" s="58">
        <v>74.8</v>
      </c>
      <c r="U111" s="58">
        <v>1.7475150000000002</v>
      </c>
      <c r="V111" s="58">
        <v>1.7475150000000002</v>
      </c>
      <c r="W111" s="58">
        <v>0.77084051659999997</v>
      </c>
      <c r="X111" s="59">
        <v>52382</v>
      </c>
      <c r="Y111" s="58">
        <v>2043</v>
      </c>
      <c r="Z111" s="58"/>
      <c r="AA111" s="58"/>
      <c r="AB111" s="58"/>
      <c r="AC111" s="58"/>
    </row>
    <row r="112" spans="1:29" x14ac:dyDescent="0.25">
      <c r="A112" s="58"/>
      <c r="B112" s="58"/>
      <c r="C112" s="62" t="s">
        <v>142</v>
      </c>
      <c r="D112" s="58" t="s">
        <v>142</v>
      </c>
      <c r="E112" s="58" t="s">
        <v>24</v>
      </c>
      <c r="F112" s="59">
        <v>45047</v>
      </c>
      <c r="G112" s="58">
        <v>2023</v>
      </c>
      <c r="H112" s="58">
        <v>25.2</v>
      </c>
      <c r="I112" s="58">
        <v>0.7</v>
      </c>
      <c r="J112" s="58">
        <v>17.639999999999997</v>
      </c>
      <c r="K112" s="58">
        <v>2527.25</v>
      </c>
      <c r="L112" s="58">
        <v>44.580689999999997</v>
      </c>
      <c r="M112" s="58">
        <v>0.60944099627737325</v>
      </c>
      <c r="N112" s="58">
        <v>27.169300128332729</v>
      </c>
      <c r="O112" s="58" t="s">
        <v>122</v>
      </c>
      <c r="P112" s="58">
        <v>63</v>
      </c>
      <c r="Q112" s="58">
        <v>2.8085834699999999</v>
      </c>
      <c r="R112" s="58">
        <v>1.7116659080849619</v>
      </c>
      <c r="S112" s="58">
        <v>2043</v>
      </c>
      <c r="T112" s="58">
        <v>63</v>
      </c>
      <c r="U112" s="58">
        <v>2.8085834699999999</v>
      </c>
      <c r="V112" s="58">
        <v>2.8085834699999999</v>
      </c>
      <c r="W112" s="58">
        <v>1.0969175619150378</v>
      </c>
      <c r="X112" s="59">
        <v>52351</v>
      </c>
      <c r="Y112" s="58">
        <v>2043</v>
      </c>
      <c r="Z112" s="58"/>
      <c r="AA112" s="58"/>
      <c r="AB112" s="58"/>
      <c r="AC112" s="58"/>
    </row>
    <row r="113" spans="1:29" x14ac:dyDescent="0.25">
      <c r="A113" s="58" t="s">
        <v>304</v>
      </c>
      <c r="B113" s="58" t="s">
        <v>385</v>
      </c>
      <c r="C113" s="58" t="s">
        <v>143</v>
      </c>
      <c r="D113" s="58" t="s">
        <v>143</v>
      </c>
      <c r="E113" s="58" t="s">
        <v>24</v>
      </c>
      <c r="F113" s="59">
        <v>45139</v>
      </c>
      <c r="G113" s="58">
        <v>2023</v>
      </c>
      <c r="H113" s="58">
        <v>21</v>
      </c>
      <c r="I113" s="58">
        <v>0.7</v>
      </c>
      <c r="J113" s="58">
        <v>14.7</v>
      </c>
      <c r="K113" s="58">
        <v>3042</v>
      </c>
      <c r="L113" s="58">
        <v>44.717400000000005</v>
      </c>
      <c r="M113" s="58">
        <v>0.42733952005325476</v>
      </c>
      <c r="N113" s="58">
        <v>19.109512254029415</v>
      </c>
      <c r="O113" s="58" t="s">
        <v>122</v>
      </c>
      <c r="P113" s="58">
        <v>60</v>
      </c>
      <c r="Q113" s="58">
        <v>2.6830440000000002</v>
      </c>
      <c r="R113" s="58">
        <v>1.1465707352417649</v>
      </c>
      <c r="S113" s="58">
        <v>2043</v>
      </c>
      <c r="T113" s="58">
        <v>60</v>
      </c>
      <c r="U113" s="58">
        <v>2.6830440000000002</v>
      </c>
      <c r="V113" s="58">
        <v>2.6830440000000002</v>
      </c>
      <c r="W113" s="58">
        <v>1.5364732647582355</v>
      </c>
      <c r="X113" s="59">
        <v>52443</v>
      </c>
      <c r="Y113" s="58">
        <v>2043</v>
      </c>
      <c r="Z113" s="58"/>
      <c r="AA113" s="58"/>
      <c r="AB113" s="58"/>
      <c r="AC113" s="58"/>
    </row>
    <row r="114" spans="1:29" x14ac:dyDescent="0.25">
      <c r="A114" s="58" t="s">
        <v>305</v>
      </c>
      <c r="B114" s="58" t="s">
        <v>144</v>
      </c>
      <c r="C114" s="58" t="s">
        <v>144</v>
      </c>
      <c r="D114" s="58" t="s">
        <v>144</v>
      </c>
      <c r="E114" s="58" t="s">
        <v>24</v>
      </c>
      <c r="F114" s="59">
        <v>45261</v>
      </c>
      <c r="G114" s="58">
        <v>2023</v>
      </c>
      <c r="H114" s="58">
        <v>10</v>
      </c>
      <c r="I114" s="58">
        <v>0.7</v>
      </c>
      <c r="J114" s="58">
        <v>7</v>
      </c>
      <c r="K114" s="58">
        <v>2736</v>
      </c>
      <c r="L114" s="58">
        <v>19.152000000000001</v>
      </c>
      <c r="M114" s="58">
        <v>9.0961290322580449E-2</v>
      </c>
      <c r="N114" s="58">
        <v>1.7420906322580609</v>
      </c>
      <c r="O114" s="58" t="s">
        <v>122</v>
      </c>
      <c r="P114" s="58">
        <v>60</v>
      </c>
      <c r="Q114" s="58">
        <v>1.1491200000000001</v>
      </c>
      <c r="R114" s="58">
        <v>0.10452543793548365</v>
      </c>
      <c r="S114" s="58">
        <v>2043</v>
      </c>
      <c r="T114" s="58">
        <v>60</v>
      </c>
      <c r="U114" s="58">
        <v>1.1491200000000001</v>
      </c>
      <c r="V114" s="58">
        <v>1.1491200000000001</v>
      </c>
      <c r="W114" s="58">
        <v>1.0445945620645163</v>
      </c>
      <c r="X114" s="59">
        <v>52565</v>
      </c>
      <c r="Y114" s="58">
        <v>2043</v>
      </c>
      <c r="Z114" s="58"/>
      <c r="AA114" s="58"/>
      <c r="AB114" s="58"/>
      <c r="AC114" s="58"/>
    </row>
    <row r="115" spans="1:29" x14ac:dyDescent="0.25">
      <c r="A115" s="58" t="s">
        <v>306</v>
      </c>
      <c r="B115" s="58" t="s">
        <v>386</v>
      </c>
      <c r="C115" s="58" t="s">
        <v>145</v>
      </c>
      <c r="D115" s="58" t="s">
        <v>145</v>
      </c>
      <c r="E115" s="58" t="s">
        <v>73</v>
      </c>
      <c r="F115" s="59">
        <v>45261</v>
      </c>
      <c r="G115" s="58">
        <v>2023</v>
      </c>
      <c r="H115" s="58">
        <v>10</v>
      </c>
      <c r="I115" s="58">
        <v>0.7</v>
      </c>
      <c r="J115" s="58">
        <v>7</v>
      </c>
      <c r="K115" s="58">
        <v>1500</v>
      </c>
      <c r="L115" s="58">
        <v>10.5</v>
      </c>
      <c r="M115" s="58">
        <v>3.0188508176393479E-2</v>
      </c>
      <c r="N115" s="58">
        <v>0.31697933585213151</v>
      </c>
      <c r="O115" s="58" t="s">
        <v>122</v>
      </c>
      <c r="P115" s="58">
        <v>53</v>
      </c>
      <c r="Q115" s="58">
        <v>0.55649999999999999</v>
      </c>
      <c r="R115" s="58">
        <v>1.6799904800162972E-2</v>
      </c>
      <c r="S115" s="58">
        <v>2043</v>
      </c>
      <c r="T115" s="58">
        <v>53</v>
      </c>
      <c r="U115" s="58">
        <v>0.55649999999999999</v>
      </c>
      <c r="V115" s="58">
        <v>0.55649999999999999</v>
      </c>
      <c r="W115" s="58">
        <v>0.53970009519983708</v>
      </c>
      <c r="X115" s="59">
        <v>52565</v>
      </c>
      <c r="Y115" s="58">
        <v>2043</v>
      </c>
      <c r="Z115" s="58"/>
      <c r="AA115" s="58"/>
      <c r="AB115" s="58"/>
      <c r="AC115" s="58"/>
    </row>
    <row r="116" spans="1:29" x14ac:dyDescent="0.25">
      <c r="A116" s="58" t="s">
        <v>307</v>
      </c>
      <c r="B116" s="58" t="s">
        <v>387</v>
      </c>
      <c r="C116" s="58" t="s">
        <v>146</v>
      </c>
      <c r="D116" s="58" t="s">
        <v>146</v>
      </c>
      <c r="E116" s="58" t="s">
        <v>24</v>
      </c>
      <c r="F116" s="59">
        <v>45323</v>
      </c>
      <c r="G116" s="58">
        <v>2024</v>
      </c>
      <c r="H116" s="58">
        <v>14.4</v>
      </c>
      <c r="I116" s="58">
        <v>0.5</v>
      </c>
      <c r="J116" s="58">
        <v>7.2</v>
      </c>
      <c r="K116" s="58">
        <v>2772.9861111111109</v>
      </c>
      <c r="L116" s="58">
        <v>19.965499999999999</v>
      </c>
      <c r="M116" s="58">
        <v>0.88142421505609048</v>
      </c>
      <c r="N116" s="58">
        <v>17.598075165702372</v>
      </c>
      <c r="O116" s="58" t="s">
        <v>122</v>
      </c>
      <c r="P116" s="58">
        <v>56.8</v>
      </c>
      <c r="Q116" s="58">
        <v>1.1340403999999999</v>
      </c>
      <c r="R116" s="58">
        <v>0.99957066941189476</v>
      </c>
      <c r="S116" s="58">
        <v>2044</v>
      </c>
      <c r="T116" s="58">
        <v>56.8</v>
      </c>
      <c r="U116" s="58">
        <v>1.1340403999999999</v>
      </c>
      <c r="V116" s="58">
        <v>1.1340403999999999</v>
      </c>
      <c r="W116" s="58">
        <v>0.13446973058810516</v>
      </c>
      <c r="X116" s="59">
        <v>52627</v>
      </c>
      <c r="Y116" s="58">
        <v>2044</v>
      </c>
      <c r="Z116" s="58"/>
      <c r="AA116" s="58"/>
      <c r="AB116" s="58"/>
      <c r="AC116" s="58"/>
    </row>
    <row r="117" spans="1:29" x14ac:dyDescent="0.25">
      <c r="A117" s="58" t="s">
        <v>308</v>
      </c>
      <c r="B117" s="58" t="s">
        <v>147</v>
      </c>
      <c r="C117" s="58" t="s">
        <v>147</v>
      </c>
      <c r="D117" s="58" t="s">
        <v>147</v>
      </c>
      <c r="E117" s="58" t="s">
        <v>73</v>
      </c>
      <c r="F117" s="59">
        <v>45383</v>
      </c>
      <c r="G117" s="58">
        <v>2024</v>
      </c>
      <c r="H117" s="58">
        <v>13</v>
      </c>
      <c r="I117" s="58">
        <v>0.5</v>
      </c>
      <c r="J117" s="58">
        <v>6.5</v>
      </c>
      <c r="K117" s="58">
        <v>1846.6923076923076</v>
      </c>
      <c r="L117" s="58">
        <v>12.003500000000001</v>
      </c>
      <c r="M117" s="58">
        <v>0.77053939603440125</v>
      </c>
      <c r="N117" s="58">
        <v>9.2491696402989358</v>
      </c>
      <c r="O117" s="58" t="s">
        <v>122</v>
      </c>
      <c r="P117" s="58">
        <v>52.9</v>
      </c>
      <c r="Q117" s="58">
        <v>0.63498515</v>
      </c>
      <c r="R117" s="58">
        <v>0.4892810739718137</v>
      </c>
      <c r="S117" s="58">
        <v>2044</v>
      </c>
      <c r="T117" s="58">
        <v>52.9</v>
      </c>
      <c r="U117" s="58">
        <v>0.63498515</v>
      </c>
      <c r="V117" s="58">
        <v>0.63498515</v>
      </c>
      <c r="W117" s="58">
        <v>0.14570407602818633</v>
      </c>
      <c r="X117" s="59">
        <v>52687</v>
      </c>
      <c r="Y117" s="58">
        <v>2044</v>
      </c>
      <c r="Z117" s="58"/>
      <c r="AA117" s="58"/>
      <c r="AB117" s="58"/>
      <c r="AC117" s="58"/>
    </row>
    <row r="118" spans="1:29" x14ac:dyDescent="0.25">
      <c r="A118" s="58" t="s">
        <v>309</v>
      </c>
      <c r="B118" s="58" t="s">
        <v>388</v>
      </c>
      <c r="C118" s="58" t="s">
        <v>148</v>
      </c>
      <c r="D118" s="58" t="s">
        <v>148</v>
      </c>
      <c r="E118" s="58" t="s">
        <v>24</v>
      </c>
      <c r="F118" s="59">
        <v>45383</v>
      </c>
      <c r="G118" s="58">
        <v>2024</v>
      </c>
      <c r="H118" s="58">
        <v>19.799999999999997</v>
      </c>
      <c r="I118" s="58">
        <v>0.5</v>
      </c>
      <c r="J118" s="58">
        <v>9.8999999999999986</v>
      </c>
      <c r="K118" s="58">
        <v>3080.7453416149069</v>
      </c>
      <c r="L118" s="58">
        <v>30.499378881987575</v>
      </c>
      <c r="M118" s="58">
        <v>0.69006610304659499</v>
      </c>
      <c r="N118" s="58">
        <v>21.046587530434781</v>
      </c>
      <c r="O118" s="58" t="s">
        <v>122</v>
      </c>
      <c r="P118" s="58">
        <v>66.900000000000006</v>
      </c>
      <c r="Q118" s="58">
        <v>2.0404084472049688</v>
      </c>
      <c r="R118" s="58">
        <v>1.4080167057860871</v>
      </c>
      <c r="S118" s="58">
        <v>2044</v>
      </c>
      <c r="T118" s="58">
        <v>66.900000000000006</v>
      </c>
      <c r="U118" s="58">
        <v>2.0404084472049688</v>
      </c>
      <c r="V118" s="58">
        <v>2.0404084472049688</v>
      </c>
      <c r="W118" s="58">
        <v>0.63239174141888188</v>
      </c>
      <c r="X118" s="59">
        <v>52687</v>
      </c>
      <c r="Y118" s="58">
        <v>2044</v>
      </c>
      <c r="Z118" s="58"/>
      <c r="AA118" s="58"/>
      <c r="AB118" s="58"/>
      <c r="AC118" s="58"/>
    </row>
    <row r="119" spans="1:29" x14ac:dyDescent="0.25">
      <c r="A119" s="58"/>
      <c r="B119" s="58"/>
      <c r="C119" s="60" t="s">
        <v>149</v>
      </c>
      <c r="D119" s="58" t="s">
        <v>149</v>
      </c>
      <c r="E119" s="58" t="s">
        <v>24</v>
      </c>
      <c r="F119" s="59">
        <v>45413.666666666664</v>
      </c>
      <c r="G119" s="58">
        <v>2024</v>
      </c>
      <c r="H119" s="58">
        <v>-11.5</v>
      </c>
      <c r="I119" s="58">
        <v>1</v>
      </c>
      <c r="J119" s="58">
        <v>-11.5</v>
      </c>
      <c r="K119" s="58">
        <v>1765.2173043478265</v>
      </c>
      <c r="L119" s="58">
        <v>-20.299999000000003</v>
      </c>
      <c r="M119" s="58">
        <v>0.607649766148328</v>
      </c>
      <c r="N119" s="58">
        <v>-12.335289645161295</v>
      </c>
      <c r="O119" s="58" t="s">
        <v>120</v>
      </c>
      <c r="P119" s="58">
        <v>0</v>
      </c>
      <c r="Q119" s="58" t="s">
        <v>120</v>
      </c>
      <c r="R119" s="58" t="s">
        <v>120</v>
      </c>
      <c r="S119" s="58">
        <v>2024</v>
      </c>
      <c r="T119" s="58" t="s">
        <v>120</v>
      </c>
      <c r="U119" s="58" t="s">
        <v>120</v>
      </c>
      <c r="V119" s="58" t="s">
        <v>120</v>
      </c>
      <c r="W119" s="58" t="s">
        <v>120</v>
      </c>
      <c r="X119" s="59">
        <v>45413.666666666664</v>
      </c>
      <c r="Y119" s="58">
        <v>2024</v>
      </c>
      <c r="Z119" s="58"/>
      <c r="AA119" s="58"/>
      <c r="AB119" s="58"/>
      <c r="AC119" s="58"/>
    </row>
    <row r="120" spans="1:29" x14ac:dyDescent="0.25">
      <c r="A120" s="58"/>
      <c r="B120" s="58"/>
      <c r="C120" s="58" t="s">
        <v>150</v>
      </c>
      <c r="D120" s="58" t="s">
        <v>150</v>
      </c>
      <c r="E120" s="58" t="s">
        <v>24</v>
      </c>
      <c r="F120" s="59">
        <v>45474</v>
      </c>
      <c r="G120" s="58">
        <v>2024</v>
      </c>
      <c r="H120" s="58">
        <v>152.6</v>
      </c>
      <c r="I120" s="58">
        <v>0.5</v>
      </c>
      <c r="J120" s="58">
        <v>76.3</v>
      </c>
      <c r="K120" s="58">
        <v>2200</v>
      </c>
      <c r="L120" s="58">
        <v>167.86</v>
      </c>
      <c r="M120" s="58">
        <v>0.48678709677419352</v>
      </c>
      <c r="N120" s="58">
        <v>81.712082064516125</v>
      </c>
      <c r="O120" s="58" t="s">
        <v>122</v>
      </c>
      <c r="P120" s="58">
        <v>58</v>
      </c>
      <c r="Q120" s="58">
        <v>9.7358800000000016</v>
      </c>
      <c r="R120" s="58">
        <v>4.7393007597419352</v>
      </c>
      <c r="S120" s="58">
        <v>2044</v>
      </c>
      <c r="T120" s="58">
        <v>58</v>
      </c>
      <c r="U120" s="58">
        <v>9.7358800000000016</v>
      </c>
      <c r="V120" s="58">
        <v>9.7358800000000016</v>
      </c>
      <c r="W120" s="58">
        <v>4.9965792402580655</v>
      </c>
      <c r="X120" s="59">
        <v>52778</v>
      </c>
      <c r="Y120" s="58">
        <v>2044</v>
      </c>
      <c r="Z120" s="58"/>
      <c r="AA120" s="58"/>
      <c r="AB120" s="58"/>
      <c r="AC120" s="58"/>
    </row>
    <row r="121" spans="1:29" x14ac:dyDescent="0.25">
      <c r="A121" s="58"/>
      <c r="B121" s="58"/>
      <c r="C121" s="58" t="s">
        <v>151</v>
      </c>
      <c r="D121" s="58" t="s">
        <v>151</v>
      </c>
      <c r="E121" s="58" t="s">
        <v>73</v>
      </c>
      <c r="F121" s="59">
        <v>45474</v>
      </c>
      <c r="G121" s="58">
        <v>2024</v>
      </c>
      <c r="H121" s="58">
        <v>134</v>
      </c>
      <c r="I121" s="58">
        <v>0.5</v>
      </c>
      <c r="J121" s="58">
        <v>67</v>
      </c>
      <c r="K121" s="58">
        <v>1200</v>
      </c>
      <c r="L121" s="58">
        <v>80.400000000000006</v>
      </c>
      <c r="M121" s="58">
        <v>0.47798695953588544</v>
      </c>
      <c r="N121" s="58">
        <v>38.430151546685195</v>
      </c>
      <c r="O121" s="58" t="s">
        <v>122</v>
      </c>
      <c r="P121" s="58">
        <v>53</v>
      </c>
      <c r="Q121" s="58">
        <v>4.2612000000000005</v>
      </c>
      <c r="R121" s="58">
        <v>2.0367980319743153</v>
      </c>
      <c r="S121" s="58">
        <v>2044</v>
      </c>
      <c r="T121" s="58">
        <v>53</v>
      </c>
      <c r="U121" s="58">
        <v>4.2612000000000005</v>
      </c>
      <c r="V121" s="58">
        <v>4.2612000000000005</v>
      </c>
      <c r="W121" s="58">
        <v>2.2244019680256852</v>
      </c>
      <c r="X121" s="59">
        <v>52778</v>
      </c>
      <c r="Y121" s="58">
        <v>2044</v>
      </c>
      <c r="Z121" s="58"/>
      <c r="AA121" s="58"/>
      <c r="AB121" s="58"/>
      <c r="AC121" s="58"/>
    </row>
    <row r="122" spans="1:29" x14ac:dyDescent="0.25">
      <c r="A122" s="58" t="s">
        <v>310</v>
      </c>
      <c r="B122" s="58" t="s">
        <v>390</v>
      </c>
      <c r="C122" s="58" t="s">
        <v>152</v>
      </c>
      <c r="D122" s="58" t="s">
        <v>152</v>
      </c>
      <c r="E122" s="58" t="s">
        <v>24</v>
      </c>
      <c r="F122" s="59">
        <v>45657</v>
      </c>
      <c r="G122" s="58">
        <v>2024</v>
      </c>
      <c r="H122" s="58">
        <v>15</v>
      </c>
      <c r="I122" s="58">
        <v>0.5</v>
      </c>
      <c r="J122" s="58">
        <v>7.5</v>
      </c>
      <c r="K122" s="58">
        <v>3110</v>
      </c>
      <c r="L122" s="58">
        <v>23.324999999999999</v>
      </c>
      <c r="M122" s="58">
        <v>1.1102230246251565E-16</v>
      </c>
      <c r="N122" s="58">
        <v>2.5895952049381776E-15</v>
      </c>
      <c r="O122" s="58" t="s">
        <v>122</v>
      </c>
      <c r="P122" s="58">
        <v>62</v>
      </c>
      <c r="Q122" s="58">
        <v>1.4461499999999998</v>
      </c>
      <c r="R122" s="58">
        <v>1.6055490270616699E-16</v>
      </c>
      <c r="S122" s="58">
        <v>2044</v>
      </c>
      <c r="T122" s="58">
        <v>62</v>
      </c>
      <c r="U122" s="58">
        <v>1.4461499999999998</v>
      </c>
      <c r="V122" s="58">
        <v>1.4461499999999998</v>
      </c>
      <c r="W122" s="58">
        <v>1.4461499999999996</v>
      </c>
      <c r="X122" s="59">
        <v>52961</v>
      </c>
      <c r="Y122" s="58">
        <v>2044</v>
      </c>
      <c r="Z122" s="58"/>
      <c r="AA122" s="58"/>
      <c r="AB122" s="58"/>
      <c r="AC122" s="58"/>
    </row>
    <row r="123" spans="1:29" x14ac:dyDescent="0.25">
      <c r="A123" s="58"/>
      <c r="B123" s="58"/>
      <c r="C123" s="58" t="s">
        <v>153</v>
      </c>
      <c r="D123" s="58" t="s">
        <v>153</v>
      </c>
      <c r="E123" s="58" t="s">
        <v>24</v>
      </c>
      <c r="F123" s="59">
        <v>45839</v>
      </c>
      <c r="G123" s="58">
        <v>2025</v>
      </c>
      <c r="H123" s="58">
        <v>205.1</v>
      </c>
      <c r="I123" s="58">
        <v>0.4</v>
      </c>
      <c r="J123" s="58">
        <v>82.04</v>
      </c>
      <c r="K123" s="58">
        <v>2200</v>
      </c>
      <c r="L123" s="58">
        <v>180.488</v>
      </c>
      <c r="M123" s="58">
        <v>0.48678709677419352</v>
      </c>
      <c r="N123" s="58">
        <v>87.859229522580634</v>
      </c>
      <c r="O123" s="58" t="s">
        <v>122</v>
      </c>
      <c r="P123" s="58">
        <v>55</v>
      </c>
      <c r="Q123" s="58">
        <v>9.9268400000000003</v>
      </c>
      <c r="R123" s="58">
        <v>4.8322576237419357</v>
      </c>
      <c r="S123" s="58">
        <v>2045</v>
      </c>
      <c r="T123" s="58">
        <v>55</v>
      </c>
      <c r="U123" s="58">
        <v>9.9268400000000003</v>
      </c>
      <c r="V123" s="58">
        <v>9.9268400000000003</v>
      </c>
      <c r="W123" s="58">
        <v>5.0945823762580646</v>
      </c>
      <c r="X123" s="59">
        <v>53143</v>
      </c>
      <c r="Y123" s="58">
        <v>2045</v>
      </c>
      <c r="Z123" s="58"/>
      <c r="AA123" s="58"/>
      <c r="AB123" s="58"/>
      <c r="AC123" s="58"/>
    </row>
    <row r="124" spans="1:29" x14ac:dyDescent="0.25">
      <c r="A124" s="58"/>
      <c r="B124" s="58"/>
      <c r="C124" s="58" t="s">
        <v>154</v>
      </c>
      <c r="D124" s="58" t="s">
        <v>154</v>
      </c>
      <c r="E124" s="58" t="s">
        <v>73</v>
      </c>
      <c r="F124" s="59">
        <v>45839</v>
      </c>
      <c r="G124" s="58">
        <v>2025</v>
      </c>
      <c r="H124" s="58">
        <v>180</v>
      </c>
      <c r="I124" s="58">
        <v>0.4</v>
      </c>
      <c r="J124" s="58">
        <v>72</v>
      </c>
      <c r="K124" s="58">
        <v>1200</v>
      </c>
      <c r="L124" s="58">
        <v>86.4</v>
      </c>
      <c r="M124" s="58">
        <v>0.47798695953588544</v>
      </c>
      <c r="N124" s="58">
        <v>41.298073303900502</v>
      </c>
      <c r="O124" s="58" t="s">
        <v>122</v>
      </c>
      <c r="P124" s="58">
        <v>50</v>
      </c>
      <c r="Q124" s="58">
        <v>4.32</v>
      </c>
      <c r="R124" s="58">
        <v>2.064903665195025</v>
      </c>
      <c r="S124" s="58">
        <v>2045</v>
      </c>
      <c r="T124" s="58">
        <v>50</v>
      </c>
      <c r="U124" s="58">
        <v>4.32</v>
      </c>
      <c r="V124" s="58">
        <v>4.32</v>
      </c>
      <c r="W124" s="58">
        <v>2.2550963348049753</v>
      </c>
      <c r="X124" s="59">
        <v>53143</v>
      </c>
      <c r="Y124" s="58">
        <v>2045</v>
      </c>
      <c r="Z124" s="58"/>
      <c r="AA124" s="58"/>
      <c r="AB124" s="58"/>
      <c r="AC124" s="58"/>
    </row>
    <row r="125" spans="1:29" x14ac:dyDescent="0.25">
      <c r="A125" s="58" t="s">
        <v>311</v>
      </c>
      <c r="B125" s="58" t="s">
        <v>391</v>
      </c>
      <c r="C125" s="58" t="s">
        <v>155</v>
      </c>
      <c r="D125" s="58" t="s">
        <v>155</v>
      </c>
      <c r="E125" s="58" t="s">
        <v>24</v>
      </c>
      <c r="F125" s="59">
        <v>45992</v>
      </c>
      <c r="G125" s="58">
        <v>2025</v>
      </c>
      <c r="H125" s="58">
        <v>68</v>
      </c>
      <c r="I125" s="58">
        <v>0.4</v>
      </c>
      <c r="J125" s="58">
        <v>27.200000000000003</v>
      </c>
      <c r="K125" s="58">
        <v>2330</v>
      </c>
      <c r="L125" s="58">
        <v>63.376000000000005</v>
      </c>
      <c r="M125" s="58">
        <v>9.0961290322580449E-2</v>
      </c>
      <c r="N125" s="58">
        <v>5.7647627354838589</v>
      </c>
      <c r="O125" s="58" t="s">
        <v>122</v>
      </c>
      <c r="P125" s="58">
        <v>57.07</v>
      </c>
      <c r="Q125" s="58">
        <v>3.6168683200000005</v>
      </c>
      <c r="R125" s="58">
        <v>0.32899500931406384</v>
      </c>
      <c r="S125" s="58">
        <v>2045</v>
      </c>
      <c r="T125" s="58">
        <v>57.07</v>
      </c>
      <c r="U125" s="58">
        <v>3.6168683200000005</v>
      </c>
      <c r="V125" s="58">
        <v>3.61686832</v>
      </c>
      <c r="W125" s="58">
        <v>3.2878733106859368</v>
      </c>
      <c r="X125" s="59">
        <v>53296</v>
      </c>
      <c r="Y125" s="58">
        <v>2045</v>
      </c>
      <c r="Z125" s="58"/>
      <c r="AA125" s="58"/>
      <c r="AB125" s="58"/>
      <c r="AC125" s="58"/>
    </row>
    <row r="126" spans="1:29" x14ac:dyDescent="0.25">
      <c r="A126" s="58"/>
      <c r="B126" s="58"/>
      <c r="C126" s="62" t="s">
        <v>156</v>
      </c>
      <c r="D126" s="58" t="s">
        <v>156</v>
      </c>
      <c r="E126" s="58" t="s">
        <v>73</v>
      </c>
      <c r="F126" s="59">
        <v>45992</v>
      </c>
      <c r="G126" s="58">
        <v>2025</v>
      </c>
      <c r="H126" s="58">
        <v>106</v>
      </c>
      <c r="I126" s="58">
        <v>0.4</v>
      </c>
      <c r="J126" s="58">
        <v>42.400000000000006</v>
      </c>
      <c r="K126" s="58">
        <v>1493.3962264150944</v>
      </c>
      <c r="L126" s="58">
        <v>63.320000000000007</v>
      </c>
      <c r="M126" s="58">
        <v>3.500988804974086E-2</v>
      </c>
      <c r="N126" s="58">
        <v>2.2168261113095915</v>
      </c>
      <c r="O126" s="58" t="s">
        <v>157</v>
      </c>
      <c r="P126" s="58">
        <v>45</v>
      </c>
      <c r="Q126" s="58">
        <v>2.8494000000000006</v>
      </c>
      <c r="R126" s="58">
        <v>9.9757175008931609E-2</v>
      </c>
      <c r="S126" s="58">
        <v>2045</v>
      </c>
      <c r="T126" s="58">
        <v>45</v>
      </c>
      <c r="U126" s="58">
        <v>2.8494000000000006</v>
      </c>
      <c r="V126" s="58">
        <v>2.8494000000000006</v>
      </c>
      <c r="W126" s="58">
        <v>2.7496428249910685</v>
      </c>
      <c r="X126" s="59">
        <v>53296</v>
      </c>
      <c r="Y126" s="58">
        <v>2045</v>
      </c>
      <c r="Z126" s="58"/>
      <c r="AA126" s="58"/>
      <c r="AB126" s="58"/>
      <c r="AC126" s="58"/>
    </row>
    <row r="127" spans="1:29" x14ac:dyDescent="0.25">
      <c r="A127" s="58" t="s">
        <v>312</v>
      </c>
      <c r="B127" s="58" t="s">
        <v>389</v>
      </c>
      <c r="C127" s="58" t="s">
        <v>158</v>
      </c>
      <c r="D127" s="58" t="s">
        <v>158</v>
      </c>
      <c r="E127" s="58" t="s">
        <v>24</v>
      </c>
      <c r="F127" s="59">
        <v>45992</v>
      </c>
      <c r="G127" s="58">
        <v>2025</v>
      </c>
      <c r="H127" s="58">
        <v>20</v>
      </c>
      <c r="I127" s="58">
        <v>0.4</v>
      </c>
      <c r="J127" s="58">
        <v>8</v>
      </c>
      <c r="K127" s="58">
        <v>2416.8253968253971</v>
      </c>
      <c r="L127" s="58">
        <v>19.334603174603178</v>
      </c>
      <c r="M127" s="58">
        <v>0.10790865454771144</v>
      </c>
      <c r="N127" s="58">
        <v>2.0863710147853394</v>
      </c>
      <c r="O127" s="58" t="s">
        <v>122</v>
      </c>
      <c r="P127" s="58">
        <v>55</v>
      </c>
      <c r="Q127" s="58">
        <v>1.0634031746031749</v>
      </c>
      <c r="R127" s="58">
        <v>0.11475040581319366</v>
      </c>
      <c r="S127" s="58">
        <v>2045</v>
      </c>
      <c r="T127" s="58">
        <v>55</v>
      </c>
      <c r="U127" s="58">
        <v>1.0634031746031749</v>
      </c>
      <c r="V127" s="58">
        <v>1.0634031746031749</v>
      </c>
      <c r="W127" s="58">
        <v>0.94865276878998106</v>
      </c>
      <c r="X127" s="59">
        <v>53296</v>
      </c>
      <c r="Y127" s="58">
        <v>2045</v>
      </c>
      <c r="Z127" s="58"/>
      <c r="AA127" s="58"/>
      <c r="AB127" s="58"/>
      <c r="AC127" s="58"/>
    </row>
  </sheetData>
  <autoFilter ref="A1:AC127" xr:uid="{249E235A-58F0-426C-B8FE-A0DEAECA65E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D945-0F72-4FCA-A73A-E3ADCB4C240B}">
  <dimension ref="A1:AD127"/>
  <sheetViews>
    <sheetView showGridLines="0" tabSelected="1" workbookViewId="0">
      <selection activeCell="F17" sqref="F17"/>
    </sheetView>
  </sheetViews>
  <sheetFormatPr defaultColWidth="11.42578125" defaultRowHeight="11.25" x14ac:dyDescent="0.2"/>
  <cols>
    <col min="1" max="16384" width="11.42578125" style="58"/>
  </cols>
  <sheetData>
    <row r="1" spans="1:30" x14ac:dyDescent="0.2">
      <c r="A1" s="63" t="s">
        <v>211</v>
      </c>
      <c r="B1" s="63" t="s">
        <v>393</v>
      </c>
      <c r="C1" s="63" t="s">
        <v>180</v>
      </c>
      <c r="D1" s="63" t="s">
        <v>1</v>
      </c>
      <c r="E1" s="63" t="s">
        <v>2</v>
      </c>
      <c r="F1" s="64" t="s">
        <v>3</v>
      </c>
      <c r="G1" s="63" t="s">
        <v>4</v>
      </c>
      <c r="H1" s="63" t="s">
        <v>5</v>
      </c>
      <c r="I1" s="63" t="s">
        <v>6</v>
      </c>
      <c r="J1" s="63" t="s">
        <v>7</v>
      </c>
      <c r="K1" s="63" t="s">
        <v>8</v>
      </c>
      <c r="L1" s="63" t="s">
        <v>9</v>
      </c>
      <c r="M1" s="63" t="s">
        <v>10</v>
      </c>
      <c r="N1" s="63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4" t="s">
        <v>21</v>
      </c>
      <c r="Y1" s="63" t="s">
        <v>22</v>
      </c>
      <c r="Z1" s="63" t="s">
        <v>163</v>
      </c>
      <c r="AA1" s="63" t="s">
        <v>173</v>
      </c>
      <c r="AB1" s="63" t="s">
        <v>392</v>
      </c>
      <c r="AC1" s="63" t="s">
        <v>166</v>
      </c>
      <c r="AD1" s="63"/>
    </row>
    <row r="2" spans="1:30" x14ac:dyDescent="0.2">
      <c r="A2" s="58" t="s">
        <v>212</v>
      </c>
      <c r="B2" s="58" t="s">
        <v>318</v>
      </c>
      <c r="C2" s="58" t="s">
        <v>23</v>
      </c>
      <c r="D2" s="58" t="s">
        <v>23</v>
      </c>
      <c r="E2" s="58" t="s">
        <v>24</v>
      </c>
      <c r="F2" s="59">
        <v>37561</v>
      </c>
      <c r="G2" s="58">
        <v>2002</v>
      </c>
      <c r="H2" s="58">
        <v>8</v>
      </c>
      <c r="I2" s="58">
        <v>1</v>
      </c>
      <c r="J2" s="58">
        <f>H2*I2</f>
        <v>8</v>
      </c>
      <c r="K2" s="58">
        <v>2125</v>
      </c>
      <c r="L2" s="58">
        <v>17</v>
      </c>
      <c r="M2" s="58">
        <v>0.18136868823529412</v>
      </c>
      <c r="N2" s="58">
        <v>3.0832676999999999</v>
      </c>
      <c r="O2" s="58" t="s">
        <v>25</v>
      </c>
      <c r="P2" s="58">
        <v>98.4</v>
      </c>
      <c r="Q2" s="58">
        <v>1.6728000000000003</v>
      </c>
      <c r="R2" s="58">
        <v>0.30339354167999999</v>
      </c>
      <c r="S2" s="58">
        <v>2012</v>
      </c>
      <c r="T2" s="58">
        <v>98.4</v>
      </c>
      <c r="U2" s="58">
        <v>1.6728000000000003</v>
      </c>
      <c r="V2" s="58">
        <v>1.6728000000000003</v>
      </c>
      <c r="W2" s="58">
        <v>1.3694064583199999</v>
      </c>
      <c r="X2" s="59">
        <v>43039</v>
      </c>
      <c r="Y2" s="58">
        <v>2017</v>
      </c>
      <c r="Z2" s="58" t="s">
        <v>164</v>
      </c>
    </row>
    <row r="3" spans="1:30" x14ac:dyDescent="0.2">
      <c r="A3" s="58" t="s">
        <v>214</v>
      </c>
      <c r="B3" s="58" t="s">
        <v>319</v>
      </c>
      <c r="C3" s="58" t="s">
        <v>26</v>
      </c>
      <c r="D3" s="58" t="s">
        <v>26</v>
      </c>
      <c r="E3" s="58" t="s">
        <v>24</v>
      </c>
      <c r="F3" s="59">
        <v>37936</v>
      </c>
      <c r="G3" s="58">
        <v>2003</v>
      </c>
      <c r="H3" s="58">
        <v>4</v>
      </c>
      <c r="I3" s="58">
        <v>1</v>
      </c>
      <c r="J3" s="58">
        <f t="shared" ref="J3:J66" si="0">H3*I3</f>
        <v>4</v>
      </c>
      <c r="K3" s="58">
        <v>1475</v>
      </c>
      <c r="L3" s="58">
        <v>5.9</v>
      </c>
      <c r="M3" s="58">
        <v>0.19086530789874492</v>
      </c>
      <c r="N3" s="58">
        <v>1.1261053166025952</v>
      </c>
      <c r="O3" s="58" t="s">
        <v>25</v>
      </c>
      <c r="P3" s="58">
        <v>98.4</v>
      </c>
      <c r="Q3" s="58">
        <v>0.58056000000000008</v>
      </c>
      <c r="R3" s="58">
        <v>0.11080876315369537</v>
      </c>
      <c r="S3" s="58">
        <v>2013</v>
      </c>
      <c r="T3" s="58">
        <v>98.4</v>
      </c>
      <c r="U3" s="58">
        <v>0.58056000000000008</v>
      </c>
      <c r="V3" s="58">
        <v>0.58056000000000008</v>
      </c>
      <c r="W3" s="58">
        <v>0.46975123684630465</v>
      </c>
      <c r="X3" s="59">
        <v>43414</v>
      </c>
      <c r="Y3" s="58">
        <v>2018</v>
      </c>
      <c r="Z3" s="58" t="s">
        <v>164</v>
      </c>
      <c r="AC3" s="58">
        <v>2028</v>
      </c>
      <c r="AD3" s="58" t="s">
        <v>172</v>
      </c>
    </row>
    <row r="4" spans="1:30" x14ac:dyDescent="0.2">
      <c r="A4" s="58" t="s">
        <v>215</v>
      </c>
      <c r="B4" s="58" t="s">
        <v>320</v>
      </c>
      <c r="C4" s="58" t="s">
        <v>27</v>
      </c>
      <c r="D4" s="58" t="s">
        <v>27</v>
      </c>
      <c r="E4" s="58" t="s">
        <v>24</v>
      </c>
      <c r="F4" s="59">
        <v>38343</v>
      </c>
      <c r="G4" s="58">
        <v>2004</v>
      </c>
      <c r="H4" s="58">
        <v>12</v>
      </c>
      <c r="I4" s="58">
        <v>1</v>
      </c>
      <c r="J4" s="58">
        <f t="shared" si="0"/>
        <v>12</v>
      </c>
      <c r="K4" s="58">
        <v>1475</v>
      </c>
      <c r="L4" s="58">
        <v>17.7</v>
      </c>
      <c r="M4" s="58">
        <v>3.6138017954705504E-2</v>
      </c>
      <c r="N4" s="58">
        <v>0.63964291779828741</v>
      </c>
      <c r="O4" s="58" t="s">
        <v>25</v>
      </c>
      <c r="P4" s="58">
        <v>98.4</v>
      </c>
      <c r="Q4" s="58">
        <v>1.7416800000000001</v>
      </c>
      <c r="R4" s="58">
        <v>6.2940863111351483E-2</v>
      </c>
      <c r="S4" s="58">
        <v>2014</v>
      </c>
      <c r="T4" s="58">
        <v>98.4</v>
      </c>
      <c r="U4" s="58">
        <v>1.7416800000000001</v>
      </c>
      <c r="V4" s="58">
        <v>1.7416800000000001</v>
      </c>
      <c r="W4" s="58">
        <v>1.6787391368886486</v>
      </c>
      <c r="X4" s="59">
        <v>43820</v>
      </c>
      <c r="Y4" s="58">
        <v>2019</v>
      </c>
      <c r="Z4" s="58" t="s">
        <v>164</v>
      </c>
      <c r="AC4" s="58">
        <v>2028</v>
      </c>
      <c r="AD4" s="58" t="s">
        <v>172</v>
      </c>
    </row>
    <row r="5" spans="1:30" x14ac:dyDescent="0.2">
      <c r="A5" s="60"/>
      <c r="B5" s="60"/>
      <c r="C5" s="60" t="s">
        <v>28</v>
      </c>
      <c r="D5" s="60" t="s">
        <v>28</v>
      </c>
      <c r="E5" s="60" t="s">
        <v>24</v>
      </c>
      <c r="F5" s="65">
        <v>38632</v>
      </c>
      <c r="G5" s="60">
        <v>2005</v>
      </c>
      <c r="H5" s="60">
        <v>12</v>
      </c>
      <c r="I5" s="60">
        <v>1</v>
      </c>
      <c r="J5" s="60">
        <f t="shared" si="0"/>
        <v>12</v>
      </c>
      <c r="K5" s="60">
        <v>1558.3332499999997</v>
      </c>
      <c r="L5" s="60">
        <v>18.699998999999995</v>
      </c>
      <c r="M5" s="60">
        <v>0.28917761249699148</v>
      </c>
      <c r="N5" s="60">
        <v>5.4076210645161265</v>
      </c>
      <c r="O5" s="60" t="s">
        <v>25</v>
      </c>
      <c r="P5" s="60">
        <v>98.4</v>
      </c>
      <c r="Q5" s="60">
        <v>1.8400799015999996</v>
      </c>
      <c r="R5" s="60">
        <v>0.53210991274838682</v>
      </c>
      <c r="S5" s="60">
        <v>2015</v>
      </c>
      <c r="T5" s="60">
        <v>98.4</v>
      </c>
      <c r="U5" s="60">
        <v>1.8400799015999996</v>
      </c>
      <c r="V5" s="60">
        <v>1.8400799015999996</v>
      </c>
      <c r="W5" s="60">
        <v>1.3079699888516128</v>
      </c>
      <c r="X5" s="65">
        <v>44110</v>
      </c>
      <c r="Y5" s="60">
        <v>2020</v>
      </c>
      <c r="Z5" s="60" t="s">
        <v>165</v>
      </c>
      <c r="AA5" s="60" t="s">
        <v>175</v>
      </c>
      <c r="AB5" s="60"/>
      <c r="AC5" s="60"/>
      <c r="AD5" s="60"/>
    </row>
    <row r="6" spans="1:30" x14ac:dyDescent="0.2">
      <c r="A6" s="58" t="s">
        <v>216</v>
      </c>
      <c r="B6" s="58" t="s">
        <v>321</v>
      </c>
      <c r="C6" s="58" t="s">
        <v>29</v>
      </c>
      <c r="D6" s="58" t="s">
        <v>183</v>
      </c>
      <c r="E6" s="58" t="s">
        <v>24</v>
      </c>
      <c r="F6" s="59">
        <v>38711</v>
      </c>
      <c r="G6" s="58">
        <v>2005</v>
      </c>
      <c r="H6" s="58">
        <v>8.6999999999999993</v>
      </c>
      <c r="I6" s="58">
        <v>1</v>
      </c>
      <c r="J6" s="58">
        <f t="shared" si="0"/>
        <v>8.6999999999999993</v>
      </c>
      <c r="K6" s="58">
        <v>1715.3846410256408</v>
      </c>
      <c r="L6" s="58">
        <v>66.900000999999989</v>
      </c>
      <c r="M6" s="58">
        <v>2.2728430153535952E-2</v>
      </c>
      <c r="N6" s="58">
        <v>1.5205319999999851</v>
      </c>
      <c r="O6" s="58" t="s">
        <v>25</v>
      </c>
      <c r="P6" s="58">
        <v>99.7</v>
      </c>
      <c r="Q6" s="58">
        <v>6.6699300996999993</v>
      </c>
      <c r="R6" s="58">
        <v>0.15159704039999852</v>
      </c>
      <c r="S6" s="58">
        <v>2015</v>
      </c>
      <c r="T6" s="58">
        <v>99.7</v>
      </c>
      <c r="U6" s="58">
        <v>6.6699300996999993</v>
      </c>
      <c r="V6" s="58">
        <v>6.6699300996999984</v>
      </c>
      <c r="W6" s="58">
        <v>6.5183330592999997</v>
      </c>
      <c r="X6" s="59">
        <v>44189</v>
      </c>
      <c r="Y6" s="58">
        <v>2020</v>
      </c>
      <c r="Z6" s="58" t="s">
        <v>165</v>
      </c>
      <c r="AA6" s="58" t="s">
        <v>174</v>
      </c>
      <c r="AB6" s="59">
        <v>47118</v>
      </c>
      <c r="AC6" s="58">
        <v>2031</v>
      </c>
      <c r="AD6" s="58" t="s">
        <v>167</v>
      </c>
    </row>
    <row r="7" spans="1:30" x14ac:dyDescent="0.2">
      <c r="A7" s="58" t="s">
        <v>217</v>
      </c>
      <c r="B7" s="58" t="s">
        <v>322</v>
      </c>
      <c r="D7" s="58" t="s">
        <v>184</v>
      </c>
      <c r="E7" s="58" t="s">
        <v>24</v>
      </c>
      <c r="F7" s="59">
        <v>38711</v>
      </c>
      <c r="G7" s="58">
        <v>2005</v>
      </c>
      <c r="H7" s="58">
        <v>5.74</v>
      </c>
      <c r="I7" s="58">
        <v>1</v>
      </c>
      <c r="J7" s="58">
        <f t="shared" si="0"/>
        <v>5.74</v>
      </c>
      <c r="O7" s="58" t="s">
        <v>25</v>
      </c>
      <c r="S7" s="58">
        <v>2015</v>
      </c>
      <c r="X7" s="59">
        <v>44190</v>
      </c>
      <c r="Y7" s="58">
        <v>2020</v>
      </c>
      <c r="AB7" s="59">
        <v>47118</v>
      </c>
    </row>
    <row r="8" spans="1:30" x14ac:dyDescent="0.2">
      <c r="A8" s="58" t="s">
        <v>218</v>
      </c>
      <c r="B8" s="58" t="s">
        <v>323</v>
      </c>
      <c r="D8" s="58" t="s">
        <v>185</v>
      </c>
      <c r="E8" s="58" t="s">
        <v>24</v>
      </c>
      <c r="F8" s="59">
        <v>38711</v>
      </c>
      <c r="G8" s="58">
        <v>2005</v>
      </c>
      <c r="H8" s="58">
        <v>7.46</v>
      </c>
      <c r="I8" s="58">
        <v>1</v>
      </c>
      <c r="J8" s="58">
        <f t="shared" si="0"/>
        <v>7.46</v>
      </c>
      <c r="O8" s="58" t="s">
        <v>25</v>
      </c>
      <c r="S8" s="58">
        <v>2015</v>
      </c>
      <c r="X8" s="59">
        <v>44191</v>
      </c>
      <c r="Y8" s="58">
        <v>2020</v>
      </c>
      <c r="AB8" s="59">
        <v>47118</v>
      </c>
    </row>
    <row r="9" spans="1:30" x14ac:dyDescent="0.2">
      <c r="A9" s="58" t="s">
        <v>219</v>
      </c>
      <c r="B9" s="58" t="s">
        <v>324</v>
      </c>
      <c r="D9" s="58" t="s">
        <v>186</v>
      </c>
      <c r="E9" s="58" t="s">
        <v>24</v>
      </c>
      <c r="F9" s="59">
        <v>38711</v>
      </c>
      <c r="G9" s="58">
        <v>2005</v>
      </c>
      <c r="H9" s="58">
        <v>9.0299999999999994</v>
      </c>
      <c r="I9" s="58">
        <v>1</v>
      </c>
      <c r="J9" s="58">
        <f t="shared" si="0"/>
        <v>9.0299999999999994</v>
      </c>
      <c r="O9" s="58" t="s">
        <v>25</v>
      </c>
      <c r="S9" s="58">
        <v>2015</v>
      </c>
      <c r="X9" s="59">
        <v>44192</v>
      </c>
      <c r="Y9" s="58">
        <v>2020</v>
      </c>
      <c r="AB9" s="59">
        <v>47118</v>
      </c>
    </row>
    <row r="10" spans="1:30" x14ac:dyDescent="0.2">
      <c r="A10" s="60"/>
      <c r="B10" s="60"/>
      <c r="C10" s="60" t="s">
        <v>31</v>
      </c>
      <c r="D10" s="60" t="s">
        <v>206</v>
      </c>
      <c r="E10" s="60" t="s">
        <v>24</v>
      </c>
      <c r="F10" s="65">
        <v>38711</v>
      </c>
      <c r="G10" s="60">
        <v>2005</v>
      </c>
      <c r="H10" s="60">
        <v>18</v>
      </c>
      <c r="I10" s="60">
        <v>1</v>
      </c>
      <c r="J10" s="60">
        <f t="shared" si="0"/>
        <v>18</v>
      </c>
      <c r="K10" s="60">
        <v>3033.3333333333335</v>
      </c>
      <c r="L10" s="60">
        <v>54.6</v>
      </c>
      <c r="M10" s="60">
        <v>1.6306274370790613E-2</v>
      </c>
      <c r="N10" s="60">
        <v>0.89032258064516745</v>
      </c>
      <c r="O10" s="60" t="s">
        <v>25</v>
      </c>
      <c r="P10" s="60">
        <v>56.6</v>
      </c>
      <c r="Q10" s="60">
        <v>3.09036</v>
      </c>
      <c r="R10" s="60">
        <v>5.0392258064516478E-2</v>
      </c>
      <c r="S10" s="60">
        <v>2015</v>
      </c>
      <c r="T10" s="60">
        <v>56.333333333333314</v>
      </c>
      <c r="U10" s="60">
        <v>3.0757999999999992</v>
      </c>
      <c r="V10" s="60">
        <v>3.0901225806451618</v>
      </c>
      <c r="W10" s="60">
        <v>3.025645161290321</v>
      </c>
      <c r="X10" s="65">
        <v>44189</v>
      </c>
      <c r="Y10" s="60">
        <v>2020</v>
      </c>
      <c r="Z10" s="60" t="s">
        <v>165</v>
      </c>
      <c r="AA10" s="60" t="s">
        <v>175</v>
      </c>
      <c r="AB10" s="60"/>
      <c r="AC10" s="60"/>
      <c r="AD10" s="60"/>
    </row>
    <row r="11" spans="1:30" x14ac:dyDescent="0.2">
      <c r="D11" s="60" t="s">
        <v>207</v>
      </c>
      <c r="E11" s="58" t="s">
        <v>24</v>
      </c>
      <c r="F11" s="59"/>
      <c r="I11" s="58">
        <v>1</v>
      </c>
      <c r="J11" s="58">
        <f t="shared" si="0"/>
        <v>0</v>
      </c>
      <c r="X11" s="59"/>
    </row>
    <row r="12" spans="1:30" x14ac:dyDescent="0.2">
      <c r="A12" s="58" t="s">
        <v>220</v>
      </c>
      <c r="B12" s="58" t="s">
        <v>325</v>
      </c>
      <c r="C12" s="58" t="s">
        <v>33</v>
      </c>
      <c r="D12" s="58" t="s">
        <v>33</v>
      </c>
      <c r="E12" s="58" t="s">
        <v>24</v>
      </c>
      <c r="F12" s="59">
        <v>38747</v>
      </c>
      <c r="G12" s="58">
        <v>2006</v>
      </c>
      <c r="H12" s="58">
        <v>8</v>
      </c>
      <c r="I12" s="58">
        <v>1</v>
      </c>
      <c r="J12" s="58">
        <f t="shared" si="0"/>
        <v>8</v>
      </c>
      <c r="K12" s="58">
        <v>2317.6248749999995</v>
      </c>
      <c r="L12" s="58">
        <v>18.540998999999996</v>
      </c>
      <c r="M12" s="58">
        <v>0.88446243185257323</v>
      </c>
      <c r="N12" s="58">
        <v>16.398817064516123</v>
      </c>
      <c r="O12" s="58" t="s">
        <v>25</v>
      </c>
      <c r="P12" s="58">
        <v>85.5</v>
      </c>
      <c r="Q12" s="58">
        <v>1.5852554144999997</v>
      </c>
      <c r="R12" s="58">
        <v>1.4020988590161285</v>
      </c>
      <c r="S12" s="58">
        <v>2016</v>
      </c>
      <c r="T12" s="58">
        <v>85.5</v>
      </c>
      <c r="U12" s="58">
        <v>1.5852554144999997</v>
      </c>
      <c r="V12" s="58">
        <v>1.5852554144999997</v>
      </c>
      <c r="W12" s="58">
        <v>0.18315655548387111</v>
      </c>
      <c r="X12" s="59">
        <v>44225</v>
      </c>
      <c r="Y12" s="58">
        <v>2021</v>
      </c>
      <c r="Z12" s="58" t="s">
        <v>165</v>
      </c>
      <c r="AA12" s="58">
        <v>2026</v>
      </c>
      <c r="AB12" s="59">
        <v>46387</v>
      </c>
    </row>
    <row r="13" spans="1:30" x14ac:dyDescent="0.2">
      <c r="A13" s="60"/>
      <c r="B13" s="60"/>
      <c r="C13" s="60" t="s">
        <v>34</v>
      </c>
      <c r="D13" s="60" t="s">
        <v>34</v>
      </c>
      <c r="E13" s="60" t="s">
        <v>24</v>
      </c>
      <c r="F13" s="65">
        <v>38954</v>
      </c>
      <c r="G13" s="60">
        <v>2006</v>
      </c>
      <c r="H13" s="60">
        <v>12</v>
      </c>
      <c r="I13" s="60">
        <v>1</v>
      </c>
      <c r="J13" s="60">
        <f t="shared" si="0"/>
        <v>12</v>
      </c>
      <c r="K13" s="60">
        <v>1958.333333333333</v>
      </c>
      <c r="L13" s="60">
        <v>23.499999999999996</v>
      </c>
      <c r="M13" s="60">
        <v>0.37706226355525047</v>
      </c>
      <c r="N13" s="60">
        <v>8.8609631935483844</v>
      </c>
      <c r="O13" s="60" t="s">
        <v>25</v>
      </c>
      <c r="P13" s="60">
        <v>95.1</v>
      </c>
      <c r="Q13" s="60">
        <v>2.2348499999999993</v>
      </c>
      <c r="R13" s="60">
        <v>0.84267759970645129</v>
      </c>
      <c r="S13" s="60">
        <v>2016</v>
      </c>
      <c r="T13" s="60">
        <v>95.1</v>
      </c>
      <c r="U13" s="60">
        <v>2.2348499999999993</v>
      </c>
      <c r="V13" s="60">
        <v>2.2348499999999993</v>
      </c>
      <c r="W13" s="60">
        <v>1.3921724002935483</v>
      </c>
      <c r="X13" s="65">
        <v>44432</v>
      </c>
      <c r="Y13" s="60">
        <v>2021</v>
      </c>
      <c r="Z13" s="60" t="s">
        <v>165</v>
      </c>
      <c r="AA13" s="60" t="s">
        <v>175</v>
      </c>
      <c r="AB13" s="60"/>
      <c r="AC13" s="60"/>
      <c r="AD13" s="60"/>
    </row>
    <row r="14" spans="1:30" x14ac:dyDescent="0.2">
      <c r="A14" s="60"/>
      <c r="B14" s="60"/>
      <c r="C14" s="60" t="s">
        <v>35</v>
      </c>
      <c r="D14" s="60" t="s">
        <v>35</v>
      </c>
      <c r="E14" s="60" t="s">
        <v>24</v>
      </c>
      <c r="F14" s="65">
        <v>38954</v>
      </c>
      <c r="G14" s="60">
        <v>2006</v>
      </c>
      <c r="H14" s="60">
        <v>12</v>
      </c>
      <c r="I14" s="60">
        <v>1</v>
      </c>
      <c r="J14" s="60">
        <f t="shared" si="0"/>
        <v>12</v>
      </c>
      <c r="K14" s="60">
        <v>1983.3332499999999</v>
      </c>
      <c r="L14" s="60">
        <v>23.799999</v>
      </c>
      <c r="M14" s="60">
        <v>0.3766232199448627</v>
      </c>
      <c r="N14" s="60">
        <v>8.9636322580645125</v>
      </c>
      <c r="O14" s="60" t="s">
        <v>25</v>
      </c>
      <c r="P14" s="60">
        <v>95.1</v>
      </c>
      <c r="Q14" s="60">
        <v>2.2633799048999999</v>
      </c>
      <c r="R14" s="60">
        <v>0.8524414277419351</v>
      </c>
      <c r="S14" s="60">
        <v>2016</v>
      </c>
      <c r="T14" s="60">
        <v>95.1</v>
      </c>
      <c r="U14" s="60">
        <v>2.2633799048999999</v>
      </c>
      <c r="V14" s="60">
        <v>2.2633799048999999</v>
      </c>
      <c r="W14" s="60">
        <v>1.4109384771580646</v>
      </c>
      <c r="X14" s="65">
        <v>44432</v>
      </c>
      <c r="Y14" s="60">
        <v>2021</v>
      </c>
      <c r="Z14" s="60" t="s">
        <v>165</v>
      </c>
      <c r="AA14" s="60" t="s">
        <v>175</v>
      </c>
      <c r="AB14" s="60"/>
      <c r="AC14" s="60"/>
      <c r="AD14" s="60"/>
    </row>
    <row r="15" spans="1:30" x14ac:dyDescent="0.2">
      <c r="A15" s="58" t="s">
        <v>221</v>
      </c>
      <c r="B15" s="58" t="s">
        <v>326</v>
      </c>
      <c r="C15" s="58" t="s">
        <v>36</v>
      </c>
      <c r="D15" s="58" t="s">
        <v>36</v>
      </c>
      <c r="E15" s="58" t="s">
        <v>24</v>
      </c>
      <c r="F15" s="59">
        <v>39278</v>
      </c>
      <c r="G15" s="58">
        <v>2007</v>
      </c>
      <c r="H15" s="58">
        <v>13.8</v>
      </c>
      <c r="I15" s="58">
        <v>1</v>
      </c>
      <c r="J15" s="58">
        <f t="shared" si="0"/>
        <v>13.8</v>
      </c>
      <c r="K15" s="58">
        <v>2144.9274637681156</v>
      </c>
      <c r="L15" s="58">
        <v>29.599998999999997</v>
      </c>
      <c r="M15" s="58">
        <v>0.44405224582129427</v>
      </c>
      <c r="N15" s="58">
        <v>13.143946032258063</v>
      </c>
      <c r="O15" s="58" t="s">
        <v>25</v>
      </c>
      <c r="P15" s="58">
        <v>95.3</v>
      </c>
      <c r="Q15" s="58">
        <v>2.8208799046999999</v>
      </c>
      <c r="R15" s="58">
        <v>1.2526180568741934</v>
      </c>
      <c r="S15" s="58">
        <v>2017</v>
      </c>
      <c r="T15" s="58">
        <v>95.3</v>
      </c>
      <c r="U15" s="58">
        <v>2.8208799046999999</v>
      </c>
      <c r="V15" s="58">
        <v>2.8208799046999995</v>
      </c>
      <c r="W15" s="58">
        <v>1.5682618478258061</v>
      </c>
      <c r="X15" s="59">
        <v>44756</v>
      </c>
      <c r="Y15" s="58">
        <v>2022</v>
      </c>
      <c r="Z15" s="58" t="s">
        <v>165</v>
      </c>
      <c r="AA15" s="58" t="s">
        <v>168</v>
      </c>
      <c r="AB15" s="59">
        <v>46387</v>
      </c>
    </row>
    <row r="16" spans="1:30" x14ac:dyDescent="0.2">
      <c r="A16" s="60"/>
      <c r="B16" s="60"/>
      <c r="C16" s="60" t="s">
        <v>37</v>
      </c>
      <c r="D16" s="60" t="s">
        <v>37</v>
      </c>
      <c r="E16" s="60" t="s">
        <v>24</v>
      </c>
      <c r="F16" s="65">
        <v>39326</v>
      </c>
      <c r="G16" s="60">
        <v>2007</v>
      </c>
      <c r="H16" s="60">
        <v>12</v>
      </c>
      <c r="I16" s="60">
        <v>1</v>
      </c>
      <c r="J16" s="60">
        <f t="shared" si="0"/>
        <v>12</v>
      </c>
      <c r="K16" s="60">
        <v>1800.0000833333334</v>
      </c>
      <c r="L16" s="60">
        <v>21.600000999999999</v>
      </c>
      <c r="M16" s="60">
        <v>0.36282123320272069</v>
      </c>
      <c r="N16" s="60">
        <v>7.8369390000000001</v>
      </c>
      <c r="O16" s="60" t="s">
        <v>25</v>
      </c>
      <c r="P16" s="60">
        <v>95.2</v>
      </c>
      <c r="Q16" s="60">
        <v>2.0563200951999998</v>
      </c>
      <c r="R16" s="60">
        <v>0.74607659280000005</v>
      </c>
      <c r="S16" s="60">
        <v>2017</v>
      </c>
      <c r="T16" s="60">
        <v>95.2</v>
      </c>
      <c r="U16" s="60">
        <v>2.0563200951999998</v>
      </c>
      <c r="V16" s="60">
        <v>2.0563200951999998</v>
      </c>
      <c r="W16" s="60">
        <v>1.3102435023999999</v>
      </c>
      <c r="X16" s="65">
        <v>44804</v>
      </c>
      <c r="Y16" s="60">
        <v>2022</v>
      </c>
      <c r="Z16" s="60" t="s">
        <v>165</v>
      </c>
      <c r="AA16" s="60" t="s">
        <v>175</v>
      </c>
      <c r="AB16" s="60"/>
      <c r="AC16" s="60"/>
      <c r="AD16" s="60"/>
    </row>
    <row r="17" spans="1:30" x14ac:dyDescent="0.2">
      <c r="A17" s="58" t="s">
        <v>222</v>
      </c>
      <c r="B17" s="58" t="s">
        <v>38</v>
      </c>
      <c r="C17" s="58" t="s">
        <v>38</v>
      </c>
      <c r="D17" s="58" t="s">
        <v>38</v>
      </c>
      <c r="E17" s="58" t="s">
        <v>24</v>
      </c>
      <c r="F17" s="59">
        <v>39359</v>
      </c>
      <c r="G17" s="58">
        <v>2007</v>
      </c>
      <c r="H17" s="58">
        <v>4</v>
      </c>
      <c r="I17" s="58">
        <v>1</v>
      </c>
      <c r="J17" s="58">
        <f t="shared" si="0"/>
        <v>4</v>
      </c>
      <c r="K17" s="58">
        <v>2257.5</v>
      </c>
      <c r="L17" s="58">
        <v>9.0299999999999994</v>
      </c>
      <c r="M17" s="58">
        <v>0.25075095916836354</v>
      </c>
      <c r="N17" s="58">
        <v>2.2642811612903224</v>
      </c>
      <c r="O17" s="58" t="s">
        <v>25</v>
      </c>
      <c r="P17" s="58">
        <v>94.8</v>
      </c>
      <c r="Q17" s="58">
        <v>0.85604399999999992</v>
      </c>
      <c r="R17" s="58">
        <v>0.21465385409032256</v>
      </c>
      <c r="S17" s="58">
        <v>2017</v>
      </c>
      <c r="T17" s="58">
        <v>94.8</v>
      </c>
      <c r="U17" s="58">
        <v>0.85604399999999992</v>
      </c>
      <c r="V17" s="58">
        <v>0.85604399999999992</v>
      </c>
      <c r="W17" s="58">
        <v>0.64139014590967736</v>
      </c>
      <c r="X17" s="59">
        <v>44837</v>
      </c>
      <c r="Y17" s="58">
        <v>2022</v>
      </c>
      <c r="Z17" s="58" t="s">
        <v>165</v>
      </c>
      <c r="AA17" s="58" t="s">
        <v>169</v>
      </c>
    </row>
    <row r="18" spans="1:30" x14ac:dyDescent="0.2">
      <c r="A18" s="58" t="s">
        <v>223</v>
      </c>
      <c r="B18" s="58" t="s">
        <v>39</v>
      </c>
      <c r="C18" s="58" t="s">
        <v>39</v>
      </c>
      <c r="D18" s="58" t="s">
        <v>39</v>
      </c>
      <c r="E18" s="58" t="s">
        <v>24</v>
      </c>
      <c r="F18" s="59">
        <v>39418</v>
      </c>
      <c r="G18" s="58">
        <v>2007</v>
      </c>
      <c r="H18" s="58">
        <v>10</v>
      </c>
      <c r="I18" s="58">
        <v>1</v>
      </c>
      <c r="J18" s="58">
        <f t="shared" si="0"/>
        <v>10</v>
      </c>
      <c r="K18" s="58">
        <v>1697.9999</v>
      </c>
      <c r="L18" s="58">
        <v>16.979998999999999</v>
      </c>
      <c r="M18" s="58">
        <v>0.10909389866999288</v>
      </c>
      <c r="N18" s="58">
        <v>1.8524142903225802</v>
      </c>
      <c r="O18" s="58" t="s">
        <v>25</v>
      </c>
      <c r="P18" s="58">
        <v>94.7</v>
      </c>
      <c r="Q18" s="58">
        <v>1.6080059053</v>
      </c>
      <c r="R18" s="58">
        <v>0.17542363329354838</v>
      </c>
      <c r="S18" s="58">
        <v>2017</v>
      </c>
      <c r="T18" s="58">
        <v>94.7</v>
      </c>
      <c r="U18" s="58">
        <v>1.6080059053</v>
      </c>
      <c r="V18" s="58">
        <v>1.6080059053</v>
      </c>
      <c r="W18" s="58">
        <v>1.4325822720064516</v>
      </c>
      <c r="X18" s="59">
        <v>44896</v>
      </c>
      <c r="Y18" s="58">
        <v>2022</v>
      </c>
      <c r="Z18" s="58" t="s">
        <v>165</v>
      </c>
      <c r="AA18" s="58" t="s">
        <v>176</v>
      </c>
      <c r="AC18" s="58">
        <v>2035</v>
      </c>
    </row>
    <row r="19" spans="1:30" x14ac:dyDescent="0.2">
      <c r="A19" s="58" t="s">
        <v>224</v>
      </c>
      <c r="B19" s="58" t="s">
        <v>40</v>
      </c>
      <c r="C19" s="58" t="s">
        <v>40</v>
      </c>
      <c r="D19" s="58" t="s">
        <v>40</v>
      </c>
      <c r="E19" s="58" t="s">
        <v>24</v>
      </c>
      <c r="F19" s="59">
        <v>39507</v>
      </c>
      <c r="G19" s="58">
        <v>2008</v>
      </c>
      <c r="H19" s="58">
        <v>8.1</v>
      </c>
      <c r="I19" s="58">
        <v>1</v>
      </c>
      <c r="J19" s="58">
        <f t="shared" si="0"/>
        <v>8.1</v>
      </c>
      <c r="K19" s="58">
        <v>1148.1482716049384</v>
      </c>
      <c r="L19" s="58">
        <v>9.300001</v>
      </c>
      <c r="M19" s="58">
        <v>0.75242357500821777</v>
      </c>
      <c r="N19" s="58">
        <v>6.9975399999999999</v>
      </c>
      <c r="O19" s="58" t="s">
        <v>25</v>
      </c>
      <c r="P19" s="58">
        <v>94.2</v>
      </c>
      <c r="Q19" s="58">
        <v>0.87606009419999997</v>
      </c>
      <c r="R19" s="58">
        <v>0.65916826800000006</v>
      </c>
      <c r="S19" s="58">
        <v>2018</v>
      </c>
      <c r="T19" s="58">
        <v>94.2</v>
      </c>
      <c r="U19" s="58">
        <v>0.87606009419999997</v>
      </c>
      <c r="V19" s="58">
        <v>0.87606009419999997</v>
      </c>
      <c r="W19" s="58">
        <v>0.21689182620000003</v>
      </c>
      <c r="X19" s="59">
        <v>44984</v>
      </c>
      <c r="Y19" s="58">
        <v>2023</v>
      </c>
      <c r="Z19" s="58" t="s">
        <v>164</v>
      </c>
      <c r="AC19" s="58">
        <v>2037</v>
      </c>
    </row>
    <row r="20" spans="1:30" x14ac:dyDescent="0.2">
      <c r="A20" s="58" t="s">
        <v>225</v>
      </c>
      <c r="B20" s="58" t="s">
        <v>327</v>
      </c>
      <c r="C20" s="58" t="s">
        <v>41</v>
      </c>
      <c r="D20" s="58" t="s">
        <v>41</v>
      </c>
      <c r="E20" s="58" t="s">
        <v>24</v>
      </c>
      <c r="F20" s="59">
        <v>39553</v>
      </c>
      <c r="G20" s="58">
        <v>2008</v>
      </c>
      <c r="H20" s="58">
        <v>11.5</v>
      </c>
      <c r="I20" s="58">
        <v>1</v>
      </c>
      <c r="J20" s="58">
        <f t="shared" si="0"/>
        <v>11.5</v>
      </c>
      <c r="K20" s="58">
        <v>1765.2173043478265</v>
      </c>
      <c r="L20" s="58">
        <v>20.299999000000003</v>
      </c>
      <c r="M20" s="58">
        <v>0.64798621418651314</v>
      </c>
      <c r="N20" s="58">
        <v>13.154119500000006</v>
      </c>
      <c r="O20" s="58" t="s">
        <v>25</v>
      </c>
      <c r="P20" s="58">
        <v>93.9</v>
      </c>
      <c r="Q20" s="58">
        <v>1.9061699061000004</v>
      </c>
      <c r="R20" s="58">
        <v>1.2351718210500005</v>
      </c>
      <c r="S20" s="58">
        <v>2018</v>
      </c>
      <c r="T20" s="58">
        <v>93.9</v>
      </c>
      <c r="U20" s="58">
        <v>1.9061699061000004</v>
      </c>
      <c r="V20" s="58">
        <v>1.9061699061000004</v>
      </c>
      <c r="W20" s="58">
        <v>0.67099808504999991</v>
      </c>
      <c r="X20" s="59">
        <v>45030</v>
      </c>
      <c r="Y20" s="58">
        <v>2023</v>
      </c>
      <c r="Z20" s="58" t="s">
        <v>165</v>
      </c>
      <c r="AA20" s="58">
        <v>2026</v>
      </c>
      <c r="AB20" s="59">
        <v>46387</v>
      </c>
    </row>
    <row r="21" spans="1:30" x14ac:dyDescent="0.2">
      <c r="A21" s="58" t="s">
        <v>213</v>
      </c>
      <c r="B21" s="58" t="s">
        <v>328</v>
      </c>
      <c r="C21" s="58" t="s">
        <v>42</v>
      </c>
      <c r="D21" s="58" t="s">
        <v>42</v>
      </c>
      <c r="E21" s="58" t="s">
        <v>24</v>
      </c>
      <c r="F21" s="59">
        <v>39811</v>
      </c>
      <c r="G21" s="58">
        <v>2008</v>
      </c>
      <c r="H21" s="58">
        <v>4.5999999999999996</v>
      </c>
      <c r="I21" s="58">
        <v>1</v>
      </c>
      <c r="J21" s="58">
        <f t="shared" si="0"/>
        <v>4.5999999999999996</v>
      </c>
      <c r="K21" s="58">
        <v>2304.347826086957</v>
      </c>
      <c r="L21" s="58">
        <v>10.600000000000001</v>
      </c>
      <c r="M21" s="58">
        <v>6.0157455873403407E-3</v>
      </c>
      <c r="N21" s="58">
        <v>6.3766903225807622E-2</v>
      </c>
      <c r="O21" s="58" t="s">
        <v>25</v>
      </c>
      <c r="P21" s="58">
        <v>91.9</v>
      </c>
      <c r="Q21" s="58">
        <v>0.97414000000000023</v>
      </c>
      <c r="R21" s="58">
        <v>5.860178406451721E-3</v>
      </c>
      <c r="S21" s="58">
        <v>2018</v>
      </c>
      <c r="T21" s="58">
        <v>91.9</v>
      </c>
      <c r="U21" s="58">
        <v>0.97414000000000023</v>
      </c>
      <c r="V21" s="58">
        <v>0.97414000000000023</v>
      </c>
      <c r="W21" s="58">
        <v>0.96827982159354842</v>
      </c>
      <c r="X21" s="59">
        <v>45288</v>
      </c>
      <c r="Y21" s="58">
        <v>2023</v>
      </c>
      <c r="Z21" s="58" t="s">
        <v>164</v>
      </c>
      <c r="AC21" s="58">
        <v>2030</v>
      </c>
    </row>
    <row r="22" spans="1:30" x14ac:dyDescent="0.2">
      <c r="A22" s="58" t="s">
        <v>226</v>
      </c>
      <c r="B22" s="58" t="s">
        <v>329</v>
      </c>
      <c r="C22" s="58" t="s">
        <v>43</v>
      </c>
      <c r="D22" s="58" t="s">
        <v>43</v>
      </c>
      <c r="E22" s="58" t="s">
        <v>24</v>
      </c>
      <c r="F22" s="59">
        <v>39813</v>
      </c>
      <c r="G22" s="58">
        <v>2008</v>
      </c>
      <c r="H22" s="58">
        <v>8</v>
      </c>
      <c r="I22" s="58">
        <v>1</v>
      </c>
      <c r="J22" s="58">
        <f t="shared" si="0"/>
        <v>8</v>
      </c>
      <c r="K22" s="58">
        <v>1775.0001249999998</v>
      </c>
      <c r="L22" s="58">
        <v>14.200000999999999</v>
      </c>
      <c r="M22" s="58">
        <v>0</v>
      </c>
      <c r="N22" s="58">
        <v>0</v>
      </c>
      <c r="O22" s="58" t="s">
        <v>25</v>
      </c>
      <c r="P22" s="58">
        <v>91.9</v>
      </c>
      <c r="Q22" s="58">
        <v>1.3049800918999999</v>
      </c>
      <c r="R22" s="58">
        <v>0</v>
      </c>
      <c r="S22" s="58">
        <v>2018</v>
      </c>
      <c r="T22" s="58">
        <v>91.9</v>
      </c>
      <c r="U22" s="58">
        <v>1.3049800918999999</v>
      </c>
      <c r="V22" s="58">
        <v>1.3049800918999999</v>
      </c>
      <c r="W22" s="58">
        <v>1.3049800918999999</v>
      </c>
      <c r="X22" s="59">
        <v>45290</v>
      </c>
      <c r="Y22" s="58">
        <v>2023</v>
      </c>
      <c r="Z22" s="58" t="s">
        <v>164</v>
      </c>
      <c r="AC22" s="58">
        <v>2034</v>
      </c>
    </row>
    <row r="23" spans="1:30" x14ac:dyDescent="0.2">
      <c r="A23" s="58" t="s">
        <v>227</v>
      </c>
      <c r="B23" s="58" t="s">
        <v>44</v>
      </c>
      <c r="C23" s="58" t="s">
        <v>44</v>
      </c>
      <c r="D23" s="58" t="s">
        <v>44</v>
      </c>
      <c r="E23" s="58" t="s">
        <v>24</v>
      </c>
      <c r="F23" s="59">
        <v>39813</v>
      </c>
      <c r="G23" s="58">
        <v>2008</v>
      </c>
      <c r="H23" s="58">
        <v>12</v>
      </c>
      <c r="I23" s="58">
        <v>1</v>
      </c>
      <c r="J23" s="58">
        <f t="shared" si="0"/>
        <v>12</v>
      </c>
      <c r="K23" s="58">
        <v>1669.1666666666667</v>
      </c>
      <c r="L23" s="58">
        <v>20.03</v>
      </c>
      <c r="M23" s="58">
        <v>-2.2204460492503131E-16</v>
      </c>
      <c r="N23" s="58">
        <v>-4.4475534366483774E-15</v>
      </c>
      <c r="O23" s="58" t="s">
        <v>25</v>
      </c>
      <c r="P23" s="58">
        <v>91.9</v>
      </c>
      <c r="Q23" s="58">
        <v>1.8407570000000002</v>
      </c>
      <c r="R23" s="58">
        <v>-4.087301608279859E-16</v>
      </c>
      <c r="S23" s="58">
        <v>2018</v>
      </c>
      <c r="T23" s="58">
        <v>91.9</v>
      </c>
      <c r="U23" s="58">
        <v>1.8407570000000002</v>
      </c>
      <c r="V23" s="58">
        <v>1.8407570000000002</v>
      </c>
      <c r="W23" s="58">
        <v>1.8407570000000004</v>
      </c>
      <c r="X23" s="59">
        <v>45290</v>
      </c>
      <c r="Y23" s="58">
        <v>2023</v>
      </c>
      <c r="Z23" s="58" t="s">
        <v>177</v>
      </c>
      <c r="AA23" s="58">
        <v>2024</v>
      </c>
      <c r="AB23" s="59">
        <v>45657</v>
      </c>
      <c r="AC23" s="58">
        <v>2033</v>
      </c>
    </row>
    <row r="24" spans="1:30" x14ac:dyDescent="0.2">
      <c r="A24" s="58" t="s">
        <v>228</v>
      </c>
      <c r="B24" s="58" t="s">
        <v>45</v>
      </c>
      <c r="C24" s="58" t="s">
        <v>45</v>
      </c>
      <c r="D24" s="58" t="s">
        <v>45</v>
      </c>
      <c r="E24" s="58" t="s">
        <v>24</v>
      </c>
      <c r="F24" s="59">
        <v>39825</v>
      </c>
      <c r="G24" s="58">
        <v>2009</v>
      </c>
      <c r="H24" s="58">
        <v>12</v>
      </c>
      <c r="I24" s="58">
        <v>1</v>
      </c>
      <c r="J24" s="58">
        <f t="shared" si="0"/>
        <v>12</v>
      </c>
      <c r="K24" s="58">
        <v>1710.0000016666665</v>
      </c>
      <c r="L24" s="58">
        <v>20.520000020000001</v>
      </c>
      <c r="M24" s="58">
        <v>0.9574628796868091</v>
      </c>
      <c r="N24" s="58">
        <v>19.647138310322582</v>
      </c>
      <c r="O24" s="58" t="s">
        <v>25</v>
      </c>
      <c r="P24" s="58">
        <v>91.9</v>
      </c>
      <c r="Q24" s="58">
        <v>1.8857880018380002</v>
      </c>
      <c r="R24" s="58">
        <v>1.8055720107186453</v>
      </c>
      <c r="S24" s="58">
        <v>2019</v>
      </c>
      <c r="T24" s="58">
        <v>91.9</v>
      </c>
      <c r="U24" s="58">
        <v>1.8857880018380002</v>
      </c>
      <c r="V24" s="58">
        <v>1.8857880018380002</v>
      </c>
      <c r="W24" s="58">
        <v>8.0215991119354846E-2</v>
      </c>
      <c r="X24" s="59">
        <v>45302</v>
      </c>
      <c r="Y24" s="58">
        <v>2024</v>
      </c>
      <c r="Z24" s="58" t="s">
        <v>164</v>
      </c>
      <c r="AC24" s="58">
        <v>2034</v>
      </c>
    </row>
    <row r="25" spans="1:30" x14ac:dyDescent="0.2">
      <c r="A25" s="58" t="s">
        <v>229</v>
      </c>
      <c r="B25" s="58" t="s">
        <v>330</v>
      </c>
      <c r="C25" s="58" t="s">
        <v>46</v>
      </c>
      <c r="D25" s="58" t="s">
        <v>46</v>
      </c>
      <c r="E25" s="58" t="s">
        <v>24</v>
      </c>
      <c r="F25" s="59">
        <v>39966</v>
      </c>
      <c r="G25" s="58">
        <v>2009</v>
      </c>
      <c r="H25" s="58">
        <v>8</v>
      </c>
      <c r="I25" s="58">
        <v>1</v>
      </c>
      <c r="J25" s="58">
        <f t="shared" si="0"/>
        <v>8</v>
      </c>
      <c r="K25" s="58">
        <v>2164.999875</v>
      </c>
      <c r="L25" s="58">
        <v>17.319998999999999</v>
      </c>
      <c r="M25" s="58">
        <v>0.5331102501795757</v>
      </c>
      <c r="N25" s="58">
        <v>9.2334690000000013</v>
      </c>
      <c r="O25" s="58" t="s">
        <v>25</v>
      </c>
      <c r="P25" s="58">
        <v>95.9</v>
      </c>
      <c r="Q25" s="58">
        <v>1.6609879041</v>
      </c>
      <c r="R25" s="58">
        <v>0.88548967710000026</v>
      </c>
      <c r="S25" s="58">
        <v>2019</v>
      </c>
      <c r="T25" s="58">
        <v>95.9</v>
      </c>
      <c r="U25" s="58">
        <v>1.6609879041</v>
      </c>
      <c r="V25" s="58">
        <v>1.6609879041</v>
      </c>
      <c r="W25" s="58">
        <v>0.77549822699999982</v>
      </c>
      <c r="X25" s="59">
        <v>45444</v>
      </c>
      <c r="Y25" s="58">
        <v>2024</v>
      </c>
      <c r="Z25" s="58" t="s">
        <v>165</v>
      </c>
      <c r="AA25" s="58" t="s">
        <v>168</v>
      </c>
      <c r="AB25" s="59">
        <v>46387</v>
      </c>
    </row>
    <row r="26" spans="1:30" x14ac:dyDescent="0.2">
      <c r="A26" s="58" t="s">
        <v>230</v>
      </c>
      <c r="B26" s="58" t="s">
        <v>331</v>
      </c>
      <c r="C26" s="58" t="s">
        <v>47</v>
      </c>
      <c r="D26" s="58" t="s">
        <v>48</v>
      </c>
      <c r="E26" s="58" t="s">
        <v>24</v>
      </c>
      <c r="F26" s="59">
        <v>39995</v>
      </c>
      <c r="G26" s="58">
        <v>2009</v>
      </c>
      <c r="H26" s="58">
        <v>9.1999999999999993</v>
      </c>
      <c r="I26" s="58">
        <v>1</v>
      </c>
      <c r="J26" s="58">
        <f t="shared" si="0"/>
        <v>9.1999999999999993</v>
      </c>
      <c r="K26" s="58">
        <v>2746.0870144927535</v>
      </c>
      <c r="L26" s="58">
        <v>25.264000533333331</v>
      </c>
      <c r="M26" s="58">
        <v>0.48611264066035276</v>
      </c>
      <c r="N26" s="58">
        <v>12.281150012903225</v>
      </c>
      <c r="O26" s="58" t="s">
        <v>25</v>
      </c>
      <c r="P26" s="58">
        <v>92.3</v>
      </c>
      <c r="Q26" s="58">
        <v>2.3318672492266663</v>
      </c>
      <c r="R26" s="58">
        <v>1.1335501461909678</v>
      </c>
      <c r="S26" s="58">
        <v>2019</v>
      </c>
      <c r="T26" s="58">
        <v>71.275213869565249</v>
      </c>
      <c r="U26" s="58">
        <v>1.8006970412141436</v>
      </c>
      <c r="V26" s="58">
        <v>2.07365869676959</v>
      </c>
      <c r="W26" s="58">
        <v>0.92535544748025222</v>
      </c>
      <c r="X26" s="59">
        <v>45473</v>
      </c>
      <c r="Y26" s="58">
        <v>2024</v>
      </c>
      <c r="Z26" s="58" t="s">
        <v>165</v>
      </c>
      <c r="AA26" s="58" t="s">
        <v>178</v>
      </c>
      <c r="AB26" s="59">
        <v>46388</v>
      </c>
    </row>
    <row r="27" spans="1:30" x14ac:dyDescent="0.2">
      <c r="A27" s="58" t="s">
        <v>233</v>
      </c>
      <c r="B27" s="58" t="s">
        <v>49</v>
      </c>
      <c r="C27" s="58" t="s">
        <v>49</v>
      </c>
      <c r="D27" s="58" t="s">
        <v>49</v>
      </c>
      <c r="E27" s="58" t="s">
        <v>24</v>
      </c>
      <c r="F27" s="59">
        <v>40037</v>
      </c>
      <c r="G27" s="58">
        <v>2009</v>
      </c>
      <c r="H27" s="58">
        <v>12</v>
      </c>
      <c r="I27" s="58">
        <v>1</v>
      </c>
      <c r="J27" s="58">
        <f t="shared" si="0"/>
        <v>12</v>
      </c>
      <c r="K27" s="58">
        <v>1551.6666666666667</v>
      </c>
      <c r="L27" s="58">
        <v>18.62</v>
      </c>
      <c r="M27" s="58">
        <v>0.39823742593811734</v>
      </c>
      <c r="N27" s="58">
        <v>7.4151808709677454</v>
      </c>
      <c r="O27" s="58" t="s">
        <v>25</v>
      </c>
      <c r="P27" s="58">
        <v>96.2</v>
      </c>
      <c r="Q27" s="58">
        <v>1.7912440000000001</v>
      </c>
      <c r="R27" s="58">
        <v>0.71334039978709707</v>
      </c>
      <c r="S27" s="58">
        <v>2019</v>
      </c>
      <c r="T27" s="58">
        <v>96.2</v>
      </c>
      <c r="U27" s="58">
        <v>1.7912440000000001</v>
      </c>
      <c r="V27" s="58">
        <v>1.7912440000000001</v>
      </c>
      <c r="W27" s="58">
        <v>1.077903600212903</v>
      </c>
      <c r="X27" s="59">
        <v>45515</v>
      </c>
      <c r="Y27" s="58">
        <v>2024</v>
      </c>
      <c r="Z27" s="58" t="s">
        <v>164</v>
      </c>
      <c r="AB27" s="59">
        <v>46388</v>
      </c>
      <c r="AC27" s="58">
        <v>2036</v>
      </c>
    </row>
    <row r="28" spans="1:30" x14ac:dyDescent="0.2">
      <c r="A28" s="58" t="s">
        <v>231</v>
      </c>
      <c r="B28" s="58" t="s">
        <v>332</v>
      </c>
      <c r="C28" s="58" t="s">
        <v>47</v>
      </c>
      <c r="D28" s="58" t="s">
        <v>50</v>
      </c>
      <c r="E28" s="58" t="s">
        <v>24</v>
      </c>
      <c r="F28" s="59">
        <v>40050</v>
      </c>
      <c r="G28" s="58">
        <v>2009</v>
      </c>
      <c r="H28" s="58">
        <v>9.1999999999999993</v>
      </c>
      <c r="I28" s="58">
        <v>1</v>
      </c>
      <c r="J28" s="58">
        <f t="shared" si="0"/>
        <v>9.1999999999999993</v>
      </c>
      <c r="K28" s="58">
        <v>2746.0870144927535</v>
      </c>
      <c r="L28" s="58">
        <v>25.264000533333331</v>
      </c>
      <c r="M28" s="58">
        <v>0.38257662746949184</v>
      </c>
      <c r="N28" s="58">
        <v>9.665416120430109</v>
      </c>
      <c r="O28" s="58" t="s">
        <v>25</v>
      </c>
      <c r="P28" s="58">
        <v>92.3</v>
      </c>
      <c r="Q28" s="58">
        <v>2.3318672492266663</v>
      </c>
      <c r="R28" s="58">
        <v>0.892117907915699</v>
      </c>
      <c r="S28" s="58">
        <v>2019</v>
      </c>
      <c r="T28" s="58">
        <v>71.275213869565249</v>
      </c>
      <c r="U28" s="58">
        <v>1.8006970412141436</v>
      </c>
      <c r="V28" s="58">
        <v>2.1286539424329667</v>
      </c>
      <c r="W28" s="58">
        <v>1.111792440092144</v>
      </c>
      <c r="X28" s="59">
        <v>45528</v>
      </c>
      <c r="Y28" s="58">
        <v>2024</v>
      </c>
      <c r="Z28" s="58" t="s">
        <v>165</v>
      </c>
      <c r="AA28" s="58" t="s">
        <v>178</v>
      </c>
      <c r="AB28" s="59">
        <v>46388</v>
      </c>
    </row>
    <row r="29" spans="1:30" x14ac:dyDescent="0.2">
      <c r="A29" s="58" t="s">
        <v>232</v>
      </c>
      <c r="B29" s="58" t="s">
        <v>333</v>
      </c>
      <c r="C29" s="58" t="s">
        <v>47</v>
      </c>
      <c r="D29" s="58" t="s">
        <v>51</v>
      </c>
      <c r="E29" s="58" t="s">
        <v>24</v>
      </c>
      <c r="F29" s="59">
        <v>40074</v>
      </c>
      <c r="G29" s="58">
        <v>2009</v>
      </c>
      <c r="H29" s="58">
        <v>4.5999999999999996</v>
      </c>
      <c r="I29" s="58">
        <v>1</v>
      </c>
      <c r="J29" s="58">
        <f t="shared" si="0"/>
        <v>4.5999999999999996</v>
      </c>
      <c r="K29" s="58">
        <v>2746.0870144927535</v>
      </c>
      <c r="L29" s="58">
        <v>12.632000266666665</v>
      </c>
      <c r="M29" s="58">
        <v>0.33035447898766152</v>
      </c>
      <c r="N29" s="58">
        <v>4.1730378666666672</v>
      </c>
      <c r="O29" s="58" t="s">
        <v>25</v>
      </c>
      <c r="P29" s="58">
        <v>92.3</v>
      </c>
      <c r="Q29" s="58">
        <v>1.1659336246133332</v>
      </c>
      <c r="R29" s="58">
        <v>0.38517139509333337</v>
      </c>
      <c r="S29" s="58">
        <v>2019</v>
      </c>
      <c r="T29" s="58">
        <v>71.275213869565249</v>
      </c>
      <c r="U29" s="58">
        <v>0.90034852060707182</v>
      </c>
      <c r="V29" s="58">
        <v>1.0781963959524608</v>
      </c>
      <c r="W29" s="58">
        <v>0.6029143541746107</v>
      </c>
      <c r="X29" s="59">
        <v>45552</v>
      </c>
      <c r="Y29" s="58">
        <v>2024</v>
      </c>
      <c r="Z29" s="58" t="s">
        <v>165</v>
      </c>
      <c r="AA29" s="58" t="s">
        <v>178</v>
      </c>
      <c r="AB29" s="59">
        <v>46388</v>
      </c>
    </row>
    <row r="30" spans="1:30" x14ac:dyDescent="0.2">
      <c r="A30" s="58" t="s">
        <v>234</v>
      </c>
      <c r="B30" s="58" t="s">
        <v>52</v>
      </c>
      <c r="C30" s="58" t="s">
        <v>52</v>
      </c>
      <c r="D30" s="58" t="s">
        <v>53</v>
      </c>
      <c r="E30" s="58" t="s">
        <v>24</v>
      </c>
      <c r="F30" s="59">
        <v>40081</v>
      </c>
      <c r="G30" s="58">
        <v>2009</v>
      </c>
      <c r="H30" s="58">
        <v>10</v>
      </c>
      <c r="I30" s="58">
        <v>1</v>
      </c>
      <c r="J30" s="58">
        <f t="shared" si="0"/>
        <v>10</v>
      </c>
      <c r="K30" s="58">
        <v>2188.8888888888891</v>
      </c>
      <c r="L30" s="58">
        <v>21.888888888888889</v>
      </c>
      <c r="M30" s="58">
        <v>0.31412567258883267</v>
      </c>
      <c r="N30" s="58">
        <v>6.8758619444444484</v>
      </c>
      <c r="O30" s="58" t="s">
        <v>25</v>
      </c>
      <c r="P30" s="58">
        <v>96.3</v>
      </c>
      <c r="Q30" s="58">
        <v>2.1078999999999999</v>
      </c>
      <c r="R30" s="58">
        <v>0.66214550525000038</v>
      </c>
      <c r="S30" s="58">
        <v>2019</v>
      </c>
      <c r="T30" s="58">
        <v>96.3</v>
      </c>
      <c r="U30" s="58">
        <v>2.1078999999999999</v>
      </c>
      <c r="V30" s="58">
        <v>2.1078999999999999</v>
      </c>
      <c r="W30" s="58">
        <v>1.4457544947499996</v>
      </c>
      <c r="X30" s="59">
        <v>45559</v>
      </c>
      <c r="Y30" s="58">
        <v>2024</v>
      </c>
      <c r="Z30" s="58" t="s">
        <v>165</v>
      </c>
      <c r="AA30" s="58" t="s">
        <v>169</v>
      </c>
      <c r="AB30" s="59">
        <v>46022</v>
      </c>
    </row>
    <row r="31" spans="1:30" x14ac:dyDescent="0.2">
      <c r="A31" s="58" t="s">
        <v>236</v>
      </c>
      <c r="B31" s="58" t="s">
        <v>336</v>
      </c>
      <c r="C31" s="58" t="s">
        <v>210</v>
      </c>
      <c r="D31" s="58" t="s">
        <v>208</v>
      </c>
      <c r="E31" s="58" t="s">
        <v>24</v>
      </c>
      <c r="F31" s="59">
        <v>40095</v>
      </c>
      <c r="G31" s="58">
        <v>2009</v>
      </c>
      <c r="H31" s="58">
        <v>13</v>
      </c>
      <c r="I31" s="58">
        <v>1</v>
      </c>
      <c r="J31" s="58">
        <f t="shared" si="0"/>
        <v>13</v>
      </c>
      <c r="K31" s="58">
        <v>2413.3333336666669</v>
      </c>
      <c r="L31" s="58">
        <v>43.440000006000005</v>
      </c>
      <c r="M31" s="58">
        <v>0.28590513018239599</v>
      </c>
      <c r="N31" s="58">
        <v>12.419718856838715</v>
      </c>
      <c r="O31" s="58" t="s">
        <v>25</v>
      </c>
      <c r="P31" s="58">
        <v>96.5</v>
      </c>
      <c r="Q31" s="58">
        <v>4.1919600005790008</v>
      </c>
      <c r="R31" s="58">
        <v>1.198502869684936</v>
      </c>
      <c r="S31" s="58">
        <v>2019</v>
      </c>
      <c r="T31" s="58">
        <v>95.549999976250007</v>
      </c>
      <c r="U31" s="58">
        <v>4.1506919995416007</v>
      </c>
      <c r="V31" s="58">
        <v>4.1801612673700346</v>
      </c>
      <c r="W31" s="58">
        <v>2.96398786306563</v>
      </c>
      <c r="X31" s="59">
        <v>45573</v>
      </c>
      <c r="Y31" s="58">
        <v>2024</v>
      </c>
      <c r="Z31" s="58" t="s">
        <v>165</v>
      </c>
      <c r="AA31" s="58">
        <v>2027</v>
      </c>
      <c r="AB31" s="59">
        <v>46752</v>
      </c>
      <c r="AD31" s="58" t="s">
        <v>170</v>
      </c>
    </row>
    <row r="32" spans="1:30" x14ac:dyDescent="0.2">
      <c r="A32" s="58" t="s">
        <v>235</v>
      </c>
      <c r="B32" s="58" t="s">
        <v>337</v>
      </c>
      <c r="C32" s="58" t="s">
        <v>210</v>
      </c>
      <c r="D32" s="58" t="s">
        <v>209</v>
      </c>
      <c r="E32" s="58" t="s">
        <v>24</v>
      </c>
      <c r="F32" s="59">
        <v>40095</v>
      </c>
      <c r="G32" s="58">
        <v>2009</v>
      </c>
      <c r="H32" s="58">
        <v>6.6</v>
      </c>
      <c r="I32" s="58">
        <v>1</v>
      </c>
      <c r="J32" s="58">
        <f t="shared" si="0"/>
        <v>6.6</v>
      </c>
      <c r="O32" s="58" t="s">
        <v>25</v>
      </c>
      <c r="S32" s="58">
        <v>2019</v>
      </c>
      <c r="X32" s="59">
        <v>45573</v>
      </c>
      <c r="Y32" s="58">
        <v>2024</v>
      </c>
      <c r="Z32" s="58" t="s">
        <v>165</v>
      </c>
      <c r="AB32" s="59">
        <v>46752</v>
      </c>
    </row>
    <row r="33" spans="1:30" x14ac:dyDescent="0.2">
      <c r="A33" s="58" t="s">
        <v>237</v>
      </c>
      <c r="B33" s="58" t="s">
        <v>338</v>
      </c>
      <c r="D33" s="58" t="s">
        <v>57</v>
      </c>
      <c r="E33" s="58" t="s">
        <v>24</v>
      </c>
      <c r="F33" s="59">
        <v>40149</v>
      </c>
      <c r="G33" s="58">
        <v>2009</v>
      </c>
      <c r="H33" s="58">
        <v>13</v>
      </c>
      <c r="I33" s="58">
        <v>1</v>
      </c>
      <c r="J33" s="58">
        <f t="shared" si="0"/>
        <v>13</v>
      </c>
      <c r="K33" s="58">
        <v>2413.3333336666665</v>
      </c>
      <c r="L33" s="58">
        <v>28.960000003999998</v>
      </c>
      <c r="M33" s="58">
        <v>0.11116218132487067</v>
      </c>
      <c r="N33" s="58">
        <v>3.219256771612903</v>
      </c>
      <c r="O33" s="58" t="s">
        <v>25</v>
      </c>
      <c r="P33" s="58">
        <v>96.5</v>
      </c>
      <c r="Q33" s="58">
        <v>2.7946400003859999</v>
      </c>
      <c r="R33" s="58">
        <v>0.31065827846064514</v>
      </c>
      <c r="S33" s="58">
        <v>2019</v>
      </c>
      <c r="T33" s="58">
        <v>95.549999976250035</v>
      </c>
      <c r="U33" s="58">
        <v>2.7671279996944009</v>
      </c>
      <c r="V33" s="58">
        <v>2.7915817063765105</v>
      </c>
      <c r="W33" s="58">
        <v>2.459528015243245</v>
      </c>
      <c r="X33" s="59">
        <v>45627</v>
      </c>
      <c r="Y33" s="58">
        <v>2024</v>
      </c>
      <c r="Z33" s="58" t="s">
        <v>165</v>
      </c>
      <c r="AA33" s="58">
        <v>2027</v>
      </c>
      <c r="AB33" s="59">
        <v>46752</v>
      </c>
      <c r="AD33" s="58" t="s">
        <v>170</v>
      </c>
    </row>
    <row r="34" spans="1:30" x14ac:dyDescent="0.2">
      <c r="A34" s="58" t="s">
        <v>238</v>
      </c>
      <c r="B34" s="58" t="s">
        <v>339</v>
      </c>
      <c r="C34" s="58" t="s">
        <v>58</v>
      </c>
      <c r="D34" s="58" t="s">
        <v>58</v>
      </c>
      <c r="E34" s="58" t="s">
        <v>24</v>
      </c>
      <c r="F34" s="59">
        <v>40210</v>
      </c>
      <c r="G34" s="58">
        <v>2010</v>
      </c>
      <c r="H34" s="58">
        <v>4.5999999999999996</v>
      </c>
      <c r="I34" s="58">
        <v>1</v>
      </c>
      <c r="J34" s="58">
        <f t="shared" si="0"/>
        <v>4.5999999999999996</v>
      </c>
      <c r="K34" s="58">
        <v>2652.173695652174</v>
      </c>
      <c r="L34" s="58">
        <v>12.199999</v>
      </c>
      <c r="M34" s="58">
        <v>0.88636035368293298</v>
      </c>
      <c r="N34" s="58">
        <v>10.813595428571428</v>
      </c>
      <c r="O34" s="58" t="s">
        <v>25</v>
      </c>
      <c r="P34" s="58">
        <v>96.5</v>
      </c>
      <c r="Q34" s="58">
        <v>1.1772999035</v>
      </c>
      <c r="R34" s="58">
        <v>1.0435119588571429</v>
      </c>
      <c r="S34" s="58">
        <v>2020</v>
      </c>
      <c r="T34" s="58">
        <v>78.532624184782605</v>
      </c>
      <c r="U34" s="58">
        <v>0.95809793652172359</v>
      </c>
      <c r="V34" s="58">
        <v>0.98300797052114031</v>
      </c>
      <c r="W34" s="58">
        <v>0.10887791064344042</v>
      </c>
      <c r="X34" s="59">
        <v>45688</v>
      </c>
      <c r="Y34" s="58">
        <v>2025</v>
      </c>
      <c r="Z34" s="58" t="s">
        <v>165</v>
      </c>
      <c r="AA34" s="58" t="s">
        <v>169</v>
      </c>
      <c r="AB34" s="59">
        <v>46022</v>
      </c>
    </row>
    <row r="35" spans="1:30" x14ac:dyDescent="0.2">
      <c r="A35" s="58" t="s">
        <v>239</v>
      </c>
      <c r="B35" s="58" t="s">
        <v>334</v>
      </c>
      <c r="C35" s="58" t="s">
        <v>59</v>
      </c>
      <c r="D35" s="58" t="s">
        <v>60</v>
      </c>
      <c r="E35" s="58" t="s">
        <v>24</v>
      </c>
      <c r="F35" s="59">
        <v>40211</v>
      </c>
      <c r="G35" s="58">
        <v>2010</v>
      </c>
      <c r="H35" s="58">
        <v>11.5</v>
      </c>
      <c r="I35" s="58">
        <v>1</v>
      </c>
      <c r="J35" s="58">
        <f t="shared" si="0"/>
        <v>11.5</v>
      </c>
      <c r="K35" s="58">
        <v>2746.0870144927535</v>
      </c>
      <c r="L35" s="58">
        <v>31.580000666666667</v>
      </c>
      <c r="M35" s="58">
        <v>0.87530396234166363</v>
      </c>
      <c r="N35" s="58">
        <v>27.642099714285713</v>
      </c>
      <c r="O35" s="58" t="s">
        <v>25</v>
      </c>
      <c r="P35" s="58">
        <v>92.3</v>
      </c>
      <c r="Q35" s="58">
        <v>2.914834061533333</v>
      </c>
      <c r="R35" s="58">
        <v>2.5513658036285709</v>
      </c>
      <c r="S35" s="58">
        <v>2020</v>
      </c>
      <c r="T35" s="58">
        <v>71.275213869565249</v>
      </c>
      <c r="U35" s="58">
        <v>2.2508713015176798</v>
      </c>
      <c r="V35" s="58">
        <v>2.3336648268443247</v>
      </c>
      <c r="W35" s="58">
        <v>0.28067473257811715</v>
      </c>
      <c r="X35" s="59">
        <v>45689</v>
      </c>
      <c r="Y35" s="58">
        <v>2025</v>
      </c>
      <c r="Z35" s="58" t="s">
        <v>165</v>
      </c>
      <c r="AA35" s="58" t="s">
        <v>178</v>
      </c>
      <c r="AB35" s="59">
        <v>46388</v>
      </c>
    </row>
    <row r="36" spans="1:30" x14ac:dyDescent="0.2">
      <c r="A36" s="58" t="s">
        <v>240</v>
      </c>
      <c r="B36" s="58" t="s">
        <v>335</v>
      </c>
      <c r="C36" s="58" t="s">
        <v>61</v>
      </c>
      <c r="D36" s="58" t="s">
        <v>62</v>
      </c>
      <c r="E36" s="58" t="s">
        <v>24</v>
      </c>
      <c r="F36" s="59">
        <v>40226</v>
      </c>
      <c r="G36" s="58">
        <v>2010</v>
      </c>
      <c r="H36" s="58">
        <v>8</v>
      </c>
      <c r="I36" s="58">
        <v>1</v>
      </c>
      <c r="J36" s="58">
        <f t="shared" si="0"/>
        <v>8</v>
      </c>
      <c r="K36" s="58">
        <v>2188.8888888888891</v>
      </c>
      <c r="L36" s="58">
        <v>17.511111111111113</v>
      </c>
      <c r="M36" s="58">
        <v>0.81630849891225532</v>
      </c>
      <c r="N36" s="58">
        <v>14.294468825396828</v>
      </c>
      <c r="O36" s="58" t="s">
        <v>25</v>
      </c>
      <c r="P36" s="58">
        <v>96.3</v>
      </c>
      <c r="Q36" s="58">
        <v>1.6863200000000003</v>
      </c>
      <c r="R36" s="58">
        <v>1.3765573478857145</v>
      </c>
      <c r="S36" s="58">
        <v>2020</v>
      </c>
      <c r="T36" s="58">
        <v>96.3</v>
      </c>
      <c r="U36" s="58">
        <v>1.6863200000000003</v>
      </c>
      <c r="V36" s="58">
        <v>1.6863200000000003</v>
      </c>
      <c r="W36" s="58">
        <v>0.30976265211428555</v>
      </c>
      <c r="X36" s="59">
        <v>45704</v>
      </c>
      <c r="Y36" s="58">
        <v>2025</v>
      </c>
      <c r="Z36" s="58" t="s">
        <v>165</v>
      </c>
      <c r="AA36" s="58" t="s">
        <v>169</v>
      </c>
      <c r="AB36" s="59">
        <v>46022</v>
      </c>
    </row>
    <row r="37" spans="1:30" x14ac:dyDescent="0.2">
      <c r="A37" s="60"/>
      <c r="B37" s="60"/>
      <c r="C37" s="60" t="s">
        <v>63</v>
      </c>
      <c r="D37" s="60" t="s">
        <v>63</v>
      </c>
      <c r="E37" s="60" t="s">
        <v>24</v>
      </c>
      <c r="F37" s="65">
        <v>40269</v>
      </c>
      <c r="G37" s="60">
        <v>2010</v>
      </c>
      <c r="H37" s="60">
        <v>10</v>
      </c>
      <c r="I37" s="60">
        <v>1</v>
      </c>
      <c r="J37" s="60">
        <f t="shared" si="0"/>
        <v>10</v>
      </c>
      <c r="K37" s="60">
        <v>1602.0000999999997</v>
      </c>
      <c r="L37" s="60">
        <v>16.020000999999997</v>
      </c>
      <c r="M37" s="60">
        <v>0.69318712069160715</v>
      </c>
      <c r="N37" s="60">
        <v>11.104858366666665</v>
      </c>
      <c r="O37" s="60" t="s">
        <v>25</v>
      </c>
      <c r="P37" s="60">
        <v>96.3</v>
      </c>
      <c r="Q37" s="60">
        <v>1.5427260962999996</v>
      </c>
      <c r="R37" s="60">
        <v>1.0693978607099999</v>
      </c>
      <c r="S37" s="60">
        <v>2020</v>
      </c>
      <c r="T37" s="60">
        <v>96.3</v>
      </c>
      <c r="U37" s="60">
        <v>1.5427260962999996</v>
      </c>
      <c r="V37" s="60">
        <v>1.5427260962999996</v>
      </c>
      <c r="W37" s="60">
        <v>0.47332823558999987</v>
      </c>
      <c r="X37" s="65">
        <v>45747</v>
      </c>
      <c r="Y37" s="60">
        <v>2025</v>
      </c>
      <c r="Z37" s="60" t="s">
        <v>171</v>
      </c>
      <c r="AA37" s="60"/>
      <c r="AB37" s="60"/>
      <c r="AC37" s="60"/>
      <c r="AD37" s="60"/>
    </row>
    <row r="38" spans="1:30" x14ac:dyDescent="0.2">
      <c r="A38" s="58" t="s">
        <v>241</v>
      </c>
      <c r="B38" s="58" t="s">
        <v>187</v>
      </c>
      <c r="C38" s="58" t="s">
        <v>64</v>
      </c>
      <c r="D38" s="58" t="s">
        <v>187</v>
      </c>
      <c r="E38" s="58" t="s">
        <v>24</v>
      </c>
      <c r="F38" s="59">
        <v>40391</v>
      </c>
      <c r="G38" s="58">
        <v>2010</v>
      </c>
      <c r="H38" s="58">
        <v>11.6</v>
      </c>
      <c r="I38" s="58">
        <v>1</v>
      </c>
      <c r="J38" s="58">
        <f t="shared" si="0"/>
        <v>11.6</v>
      </c>
      <c r="K38" s="58">
        <v>2116.6666999999998</v>
      </c>
      <c r="L38" s="58">
        <v>38.100000600000001</v>
      </c>
      <c r="M38" s="58">
        <v>0.42677532474979168</v>
      </c>
      <c r="N38" s="58">
        <v>16.260140129032258</v>
      </c>
      <c r="O38" s="58" t="s">
        <v>25</v>
      </c>
      <c r="P38" s="58">
        <v>95.3</v>
      </c>
      <c r="Q38" s="58">
        <v>3.6309300571800001</v>
      </c>
      <c r="R38" s="58">
        <v>1.5495913542967741</v>
      </c>
      <c r="S38" s="58">
        <v>2020</v>
      </c>
      <c r="T38" s="58">
        <v>95.3</v>
      </c>
      <c r="U38" s="58">
        <v>3.6309300571800001</v>
      </c>
      <c r="V38" s="58">
        <v>3.6309300571800005</v>
      </c>
      <c r="W38" s="58">
        <v>2.081338702883226</v>
      </c>
      <c r="X38" s="59">
        <v>45869</v>
      </c>
      <c r="Y38" s="58">
        <v>2025</v>
      </c>
      <c r="Z38" s="58" t="s">
        <v>165</v>
      </c>
      <c r="AA38" s="58">
        <v>2026</v>
      </c>
      <c r="AB38" s="59">
        <v>46387</v>
      </c>
    </row>
    <row r="39" spans="1:30" x14ac:dyDescent="0.2">
      <c r="A39" s="58" t="s">
        <v>242</v>
      </c>
      <c r="B39" s="58" t="s">
        <v>188</v>
      </c>
      <c r="D39" s="58" t="s">
        <v>188</v>
      </c>
      <c r="E39" s="58" t="s">
        <v>24</v>
      </c>
      <c r="F39" s="59">
        <v>40391</v>
      </c>
      <c r="G39" s="58">
        <v>2010</v>
      </c>
      <c r="H39" s="58">
        <v>5.77</v>
      </c>
      <c r="I39" s="58">
        <v>1</v>
      </c>
      <c r="J39" s="58">
        <f t="shared" si="0"/>
        <v>5.77</v>
      </c>
      <c r="O39" s="58" t="s">
        <v>25</v>
      </c>
      <c r="X39" s="59">
        <v>45869</v>
      </c>
      <c r="Y39" s="58">
        <v>2015</v>
      </c>
      <c r="Z39" s="58" t="s">
        <v>165</v>
      </c>
      <c r="AB39" s="59">
        <v>46387</v>
      </c>
    </row>
    <row r="40" spans="1:30" x14ac:dyDescent="0.2">
      <c r="A40" s="58" t="s">
        <v>243</v>
      </c>
      <c r="B40" s="61" t="s">
        <v>189</v>
      </c>
      <c r="C40" s="58" t="s">
        <v>66</v>
      </c>
      <c r="D40" s="58" t="s">
        <v>189</v>
      </c>
      <c r="E40" s="58" t="s">
        <v>24</v>
      </c>
      <c r="F40" s="59">
        <v>40392</v>
      </c>
      <c r="G40" s="58">
        <v>2010</v>
      </c>
      <c r="H40" s="58">
        <v>9.3000000000000007</v>
      </c>
      <c r="I40" s="58">
        <v>1</v>
      </c>
      <c r="J40" s="58">
        <f t="shared" si="0"/>
        <v>9.3000000000000007</v>
      </c>
      <c r="K40" s="58">
        <v>1757.1428575</v>
      </c>
      <c r="L40" s="58">
        <v>42.171428579999997</v>
      </c>
      <c r="M40" s="58">
        <v>0.42183075852952573</v>
      </c>
      <c r="N40" s="58">
        <v>17.789205706175117</v>
      </c>
      <c r="O40" s="58" t="s">
        <v>25</v>
      </c>
      <c r="P40" s="58">
        <v>94.6</v>
      </c>
      <c r="Q40" s="58">
        <v>3.9894171436679993</v>
      </c>
      <c r="R40" s="58">
        <v>1.6828588598041661</v>
      </c>
      <c r="S40" s="58">
        <v>2020</v>
      </c>
      <c r="T40" s="58">
        <v>94.6</v>
      </c>
      <c r="U40" s="58">
        <v>3.9894171436679993</v>
      </c>
      <c r="V40" s="58">
        <v>3.9894171436679993</v>
      </c>
      <c r="W40" s="58">
        <v>2.3065582838638332</v>
      </c>
      <c r="X40" s="59">
        <v>45870</v>
      </c>
      <c r="Y40" s="58">
        <v>2025</v>
      </c>
      <c r="Z40" s="58" t="s">
        <v>179</v>
      </c>
    </row>
    <row r="41" spans="1:30" x14ac:dyDescent="0.2">
      <c r="A41" s="58" t="s">
        <v>244</v>
      </c>
      <c r="B41" s="58" t="s">
        <v>190</v>
      </c>
      <c r="D41" s="58" t="s">
        <v>190</v>
      </c>
      <c r="E41" s="58" t="s">
        <v>24</v>
      </c>
      <c r="F41" s="59">
        <v>40392</v>
      </c>
      <c r="G41" s="58">
        <v>2010</v>
      </c>
      <c r="H41" s="58">
        <v>9.3000000000000007</v>
      </c>
      <c r="I41" s="58">
        <v>1</v>
      </c>
      <c r="J41" s="58">
        <f t="shared" si="0"/>
        <v>9.3000000000000007</v>
      </c>
      <c r="O41" s="58" t="s">
        <v>25</v>
      </c>
      <c r="X41" s="59">
        <v>45870</v>
      </c>
      <c r="Y41" s="58">
        <v>2025</v>
      </c>
    </row>
    <row r="42" spans="1:30" x14ac:dyDescent="0.2">
      <c r="A42" s="58" t="s">
        <v>245</v>
      </c>
      <c r="B42" s="58" t="s">
        <v>340</v>
      </c>
      <c r="C42" s="58" t="s">
        <v>68</v>
      </c>
      <c r="D42" s="58" t="s">
        <v>68</v>
      </c>
      <c r="E42" s="58" t="s">
        <v>24</v>
      </c>
      <c r="F42" s="59">
        <v>40452</v>
      </c>
      <c r="G42" s="58">
        <v>2010</v>
      </c>
      <c r="H42" s="58">
        <v>9.1999999999999993</v>
      </c>
      <c r="I42" s="58">
        <v>1</v>
      </c>
      <c r="J42" s="58">
        <f t="shared" si="0"/>
        <v>9.1999999999999993</v>
      </c>
      <c r="K42" s="58">
        <v>2130.4346739130438</v>
      </c>
      <c r="L42" s="58">
        <v>19.599999</v>
      </c>
      <c r="M42" s="58">
        <v>0.31662562346180756</v>
      </c>
      <c r="N42" s="58">
        <v>6.2058619032258049</v>
      </c>
      <c r="O42" s="58" t="s">
        <v>25</v>
      </c>
      <c r="P42" s="58">
        <v>95.2</v>
      </c>
      <c r="Q42" s="58">
        <v>1.8659199048000001</v>
      </c>
      <c r="R42" s="58">
        <v>0.59079805318709666</v>
      </c>
      <c r="S42" s="58">
        <v>2020</v>
      </c>
      <c r="T42" s="58">
        <v>95.2</v>
      </c>
      <c r="U42" s="58">
        <v>1.8659199048000001</v>
      </c>
      <c r="V42" s="58">
        <v>1.8659199048000004</v>
      </c>
      <c r="W42" s="58">
        <v>1.2751218516129033</v>
      </c>
      <c r="X42" s="59">
        <v>45930</v>
      </c>
      <c r="Y42" s="58">
        <v>2025</v>
      </c>
      <c r="Z42" s="58" t="s">
        <v>165</v>
      </c>
      <c r="AA42" s="58" t="s">
        <v>168</v>
      </c>
      <c r="AB42" s="59">
        <v>46387</v>
      </c>
    </row>
    <row r="43" spans="1:30" x14ac:dyDescent="0.2">
      <c r="A43" s="58" t="s">
        <v>246</v>
      </c>
      <c r="B43" s="58" t="s">
        <v>341</v>
      </c>
      <c r="C43" s="58" t="s">
        <v>69</v>
      </c>
      <c r="D43" s="58" t="s">
        <v>69</v>
      </c>
      <c r="E43" s="58" t="s">
        <v>24</v>
      </c>
      <c r="F43" s="59">
        <v>40452</v>
      </c>
      <c r="G43" s="58">
        <v>2010</v>
      </c>
      <c r="H43" s="58">
        <v>10</v>
      </c>
      <c r="I43" s="58">
        <v>1</v>
      </c>
      <c r="J43" s="58">
        <f t="shared" si="0"/>
        <v>10</v>
      </c>
      <c r="K43" s="58">
        <v>2439.9998999999998</v>
      </c>
      <c r="L43" s="58">
        <v>24.399998999999998</v>
      </c>
      <c r="M43" s="58">
        <v>0.29878570764457546</v>
      </c>
      <c r="N43" s="58">
        <v>7.2903709677419331</v>
      </c>
      <c r="O43" s="58" t="s">
        <v>25</v>
      </c>
      <c r="P43" s="58">
        <v>95.2</v>
      </c>
      <c r="Q43" s="58">
        <v>2.3228799047999997</v>
      </c>
      <c r="R43" s="58">
        <v>0.69404331612903203</v>
      </c>
      <c r="S43" s="58">
        <v>2020</v>
      </c>
      <c r="T43" s="58">
        <v>92.480006799999984</v>
      </c>
      <c r="U43" s="58">
        <v>2.2565120734399926</v>
      </c>
      <c r="V43" s="58">
        <v>2.3030501453422643</v>
      </c>
      <c r="W43" s="58">
        <v>1.5822985167686963</v>
      </c>
      <c r="X43" s="59">
        <v>45930</v>
      </c>
      <c r="Y43" s="58">
        <v>2025</v>
      </c>
      <c r="Z43" s="58" t="s">
        <v>165</v>
      </c>
      <c r="AA43" s="58">
        <v>2026</v>
      </c>
      <c r="AB43" s="59">
        <v>46387</v>
      </c>
    </row>
    <row r="44" spans="1:30" x14ac:dyDescent="0.2">
      <c r="A44" s="58" t="s">
        <v>247</v>
      </c>
      <c r="B44" s="58" t="s">
        <v>70</v>
      </c>
      <c r="C44" s="58" t="s">
        <v>64</v>
      </c>
      <c r="D44" s="58" t="s">
        <v>70</v>
      </c>
      <c r="E44" s="58" t="s">
        <v>24</v>
      </c>
      <c r="F44" s="59">
        <v>40452</v>
      </c>
      <c r="G44" s="58">
        <v>2010</v>
      </c>
      <c r="H44" s="58">
        <v>11.2</v>
      </c>
      <c r="I44" s="58">
        <v>1</v>
      </c>
      <c r="J44" s="58">
        <f t="shared" si="0"/>
        <v>11.2</v>
      </c>
      <c r="K44" s="58">
        <v>2116.6667000000007</v>
      </c>
      <c r="L44" s="58">
        <v>25.400000400000007</v>
      </c>
      <c r="M44" s="58">
        <v>0.30960687650606405</v>
      </c>
      <c r="N44" s="58">
        <v>7.8640147870967798</v>
      </c>
      <c r="O44" s="58" t="s">
        <v>25</v>
      </c>
      <c r="P44" s="58">
        <v>95.3</v>
      </c>
      <c r="Q44" s="58">
        <v>2.4206200381200005</v>
      </c>
      <c r="R44" s="58">
        <v>0.74944060921032318</v>
      </c>
      <c r="S44" s="58">
        <v>2020</v>
      </c>
      <c r="T44" s="58">
        <v>95.3</v>
      </c>
      <c r="U44" s="58">
        <v>2.4206200381200005</v>
      </c>
      <c r="V44" s="58">
        <v>2.4206200381200005</v>
      </c>
      <c r="W44" s="58">
        <v>1.6711794289096775</v>
      </c>
      <c r="X44" s="59">
        <v>45930</v>
      </c>
      <c r="Y44" s="58">
        <v>2025</v>
      </c>
      <c r="Z44" s="58" t="s">
        <v>165</v>
      </c>
      <c r="AA44" s="58">
        <v>2026</v>
      </c>
      <c r="AB44" s="59">
        <v>46387</v>
      </c>
    </row>
    <row r="45" spans="1:30" x14ac:dyDescent="0.2">
      <c r="A45" s="58" t="s">
        <v>248</v>
      </c>
      <c r="B45" s="58" t="s">
        <v>342</v>
      </c>
      <c r="C45" s="58" t="s">
        <v>71</v>
      </c>
      <c r="D45" s="58" t="s">
        <v>71</v>
      </c>
      <c r="E45" s="58" t="s">
        <v>24</v>
      </c>
      <c r="F45" s="59">
        <v>40623</v>
      </c>
      <c r="G45" s="58">
        <v>2011</v>
      </c>
      <c r="H45" s="58">
        <v>8</v>
      </c>
      <c r="I45" s="58">
        <v>1</v>
      </c>
      <c r="J45" s="58">
        <f t="shared" si="0"/>
        <v>8</v>
      </c>
      <c r="K45" s="58">
        <v>1904.999875</v>
      </c>
      <c r="L45" s="58">
        <v>15.239998999999999</v>
      </c>
      <c r="M45" s="58">
        <v>0.71502789172353021</v>
      </c>
      <c r="N45" s="58">
        <v>10.897024354838708</v>
      </c>
      <c r="O45" s="58" t="s">
        <v>25</v>
      </c>
      <c r="P45" s="58">
        <v>93.9</v>
      </c>
      <c r="Q45" s="58">
        <v>1.4310359061</v>
      </c>
      <c r="R45" s="58">
        <v>1.0232305869193548</v>
      </c>
      <c r="S45" s="58">
        <v>2021</v>
      </c>
      <c r="T45" s="58">
        <v>93.9</v>
      </c>
      <c r="U45" s="58">
        <v>1.4310359061</v>
      </c>
      <c r="V45" s="58">
        <v>1.4310359061</v>
      </c>
      <c r="W45" s="58">
        <v>0.40780531918064533</v>
      </c>
      <c r="X45" s="59">
        <v>46101</v>
      </c>
      <c r="Y45" s="58">
        <v>2026</v>
      </c>
      <c r="Z45" s="58" t="s">
        <v>165</v>
      </c>
      <c r="AA45" s="58">
        <v>2027</v>
      </c>
      <c r="AB45" s="59">
        <v>46752</v>
      </c>
    </row>
    <row r="46" spans="1:30" x14ac:dyDescent="0.2">
      <c r="A46" s="58" t="s">
        <v>249</v>
      </c>
      <c r="B46" s="58" t="s">
        <v>343</v>
      </c>
      <c r="C46" s="58" t="s">
        <v>72</v>
      </c>
      <c r="D46" s="58" t="s">
        <v>72</v>
      </c>
      <c r="E46" s="58" t="s">
        <v>73</v>
      </c>
      <c r="F46" s="59">
        <v>40709</v>
      </c>
      <c r="G46" s="58">
        <v>2011</v>
      </c>
      <c r="H46" s="58">
        <v>4.5</v>
      </c>
      <c r="I46" s="58">
        <v>1</v>
      </c>
      <c r="J46" s="58">
        <f t="shared" si="0"/>
        <v>4.5</v>
      </c>
      <c r="K46" s="58">
        <v>1334.5777777777776</v>
      </c>
      <c r="L46" s="58">
        <v>6.0055999999999985</v>
      </c>
      <c r="M46" s="58">
        <v>0.54733915012654843</v>
      </c>
      <c r="N46" s="58">
        <v>3.2870999999999984</v>
      </c>
      <c r="O46" s="58" t="s">
        <v>25</v>
      </c>
      <c r="P46" s="58">
        <v>337.2</v>
      </c>
      <c r="Q46" s="58">
        <v>2.0250883199999992</v>
      </c>
      <c r="R46" s="58">
        <v>1.1084101199999994</v>
      </c>
      <c r="S46" s="58">
        <v>2031</v>
      </c>
      <c r="T46" s="58">
        <v>337.2</v>
      </c>
      <c r="U46" s="58">
        <v>2.0250883199999992</v>
      </c>
      <c r="V46" s="58">
        <v>2.0250883199999992</v>
      </c>
      <c r="W46" s="58">
        <v>0.91667820000000011</v>
      </c>
      <c r="X46" s="59">
        <v>48013</v>
      </c>
      <c r="Y46" s="58">
        <v>2031</v>
      </c>
    </row>
    <row r="47" spans="1:30" x14ac:dyDescent="0.2">
      <c r="A47" s="58" t="s">
        <v>345</v>
      </c>
      <c r="B47" s="58" t="s">
        <v>346</v>
      </c>
      <c r="C47" s="58" t="s">
        <v>74</v>
      </c>
      <c r="D47" s="58" t="s">
        <v>181</v>
      </c>
      <c r="E47" s="58" t="s">
        <v>24</v>
      </c>
      <c r="F47" s="59">
        <v>40725</v>
      </c>
      <c r="G47" s="58">
        <v>2011</v>
      </c>
      <c r="H47" s="58">
        <v>11</v>
      </c>
      <c r="I47" s="58">
        <v>1</v>
      </c>
      <c r="J47" s="58">
        <f t="shared" si="0"/>
        <v>11</v>
      </c>
      <c r="K47" s="58">
        <v>2127.7777775</v>
      </c>
      <c r="L47" s="58">
        <v>76.599999990000001</v>
      </c>
      <c r="M47" s="58">
        <v>0.46391435332005954</v>
      </c>
      <c r="N47" s="58">
        <v>35.535839459677419</v>
      </c>
      <c r="O47" s="58" t="s">
        <v>25</v>
      </c>
      <c r="P47" s="58">
        <v>92.7</v>
      </c>
      <c r="Q47" s="58">
        <v>7.1008199990729999</v>
      </c>
      <c r="R47" s="58">
        <v>3.2941723179120967</v>
      </c>
      <c r="S47" s="58">
        <v>2021</v>
      </c>
      <c r="T47" s="58">
        <v>92.7</v>
      </c>
      <c r="U47" s="58">
        <v>7.1008199990729999</v>
      </c>
      <c r="V47" s="58">
        <v>7.100819999072999</v>
      </c>
      <c r="W47" s="58">
        <v>3.8066476811609036</v>
      </c>
      <c r="X47" s="59">
        <v>46203</v>
      </c>
      <c r="Y47" s="58">
        <v>2026</v>
      </c>
    </row>
    <row r="48" spans="1:30" x14ac:dyDescent="0.2">
      <c r="A48" s="58" t="s">
        <v>250</v>
      </c>
      <c r="B48" s="58" t="s">
        <v>344</v>
      </c>
      <c r="D48" s="58" t="s">
        <v>182</v>
      </c>
      <c r="E48" s="58" t="s">
        <v>24</v>
      </c>
      <c r="F48" s="59">
        <v>40725</v>
      </c>
      <c r="G48" s="58">
        <v>2011</v>
      </c>
      <c r="H48" s="58">
        <v>11</v>
      </c>
      <c r="I48" s="58">
        <v>1</v>
      </c>
      <c r="J48" s="58">
        <f t="shared" si="0"/>
        <v>11</v>
      </c>
      <c r="O48" s="58" t="s">
        <v>25</v>
      </c>
      <c r="S48" s="58">
        <v>2021</v>
      </c>
      <c r="X48" s="59">
        <v>46203</v>
      </c>
      <c r="Y48" s="58">
        <v>2026</v>
      </c>
    </row>
    <row r="49" spans="1:28" x14ac:dyDescent="0.2">
      <c r="A49" s="58" t="s">
        <v>347</v>
      </c>
      <c r="B49" s="58" t="s">
        <v>348</v>
      </c>
      <c r="D49" s="58" t="s">
        <v>191</v>
      </c>
      <c r="E49" s="58" t="s">
        <v>24</v>
      </c>
      <c r="F49" s="59">
        <v>40725</v>
      </c>
      <c r="G49" s="58">
        <v>2011</v>
      </c>
      <c r="H49" s="58">
        <v>12</v>
      </c>
      <c r="I49" s="58">
        <v>1</v>
      </c>
      <c r="J49" s="58">
        <f t="shared" si="0"/>
        <v>12</v>
      </c>
      <c r="O49" s="58" t="s">
        <v>25</v>
      </c>
      <c r="S49" s="58">
        <v>2021</v>
      </c>
      <c r="X49" s="59">
        <v>46203</v>
      </c>
      <c r="Y49" s="58">
        <v>2026</v>
      </c>
    </row>
    <row r="50" spans="1:28" x14ac:dyDescent="0.2">
      <c r="A50" s="58" t="s">
        <v>251</v>
      </c>
      <c r="B50" s="58" t="s">
        <v>76</v>
      </c>
      <c r="C50" s="58" t="s">
        <v>76</v>
      </c>
      <c r="D50" s="58" t="s">
        <v>76</v>
      </c>
      <c r="E50" s="58" t="s">
        <v>24</v>
      </c>
      <c r="F50" s="59">
        <v>40732</v>
      </c>
      <c r="G50" s="58">
        <v>2011</v>
      </c>
      <c r="H50" s="58">
        <v>10</v>
      </c>
      <c r="I50" s="58">
        <v>1</v>
      </c>
      <c r="J50" s="58">
        <f t="shared" si="0"/>
        <v>10</v>
      </c>
      <c r="K50" s="58">
        <v>2344.0000999999997</v>
      </c>
      <c r="L50" s="58">
        <v>23.440000999999995</v>
      </c>
      <c r="M50" s="58">
        <v>0.46552240389849914</v>
      </c>
      <c r="N50" s="58">
        <v>10.911845612903221</v>
      </c>
      <c r="O50" s="58" t="s">
        <v>25</v>
      </c>
      <c r="P50" s="58">
        <v>87.8</v>
      </c>
      <c r="Q50" s="58">
        <v>2.0580320877999991</v>
      </c>
      <c r="R50" s="58">
        <v>0.95806004481290274</v>
      </c>
      <c r="S50" s="58">
        <v>2021</v>
      </c>
      <c r="T50" s="58">
        <v>87.8</v>
      </c>
      <c r="U50" s="58">
        <v>2.0580320877999991</v>
      </c>
      <c r="V50" s="58">
        <v>2.0580320877999996</v>
      </c>
      <c r="W50" s="58">
        <v>1.0999720429870967</v>
      </c>
      <c r="X50" s="59">
        <v>46210</v>
      </c>
      <c r="Y50" s="58">
        <v>2026</v>
      </c>
    </row>
    <row r="51" spans="1:28" x14ac:dyDescent="0.2">
      <c r="A51" s="58" t="s">
        <v>252</v>
      </c>
      <c r="B51" s="58" t="s">
        <v>349</v>
      </c>
      <c r="C51" s="58" t="s">
        <v>77</v>
      </c>
      <c r="D51" s="58" t="s">
        <v>193</v>
      </c>
      <c r="E51" s="58" t="s">
        <v>24</v>
      </c>
      <c r="F51" s="59">
        <v>40763</v>
      </c>
      <c r="G51" s="58">
        <v>2011</v>
      </c>
      <c r="H51" s="58">
        <v>13</v>
      </c>
      <c r="I51" s="58">
        <v>1</v>
      </c>
      <c r="J51" s="58">
        <f t="shared" si="0"/>
        <v>13</v>
      </c>
      <c r="K51" s="58">
        <v>2282.7777772222225</v>
      </c>
      <c r="L51" s="58">
        <v>41.089999990000003</v>
      </c>
      <c r="M51" s="58">
        <v>0.39486653135321248</v>
      </c>
      <c r="N51" s="58">
        <v>16.225065769354835</v>
      </c>
      <c r="O51" s="58" t="s">
        <v>25</v>
      </c>
      <c r="P51" s="58">
        <v>92</v>
      </c>
      <c r="Q51" s="58">
        <v>3.7802799990800002</v>
      </c>
      <c r="R51" s="58">
        <v>1.4927060507806447</v>
      </c>
      <c r="S51" s="58">
        <v>2021</v>
      </c>
      <c r="T51" s="58">
        <v>92</v>
      </c>
      <c r="U51" s="58">
        <v>3.7802799990800002</v>
      </c>
      <c r="V51" s="58">
        <v>3.7802799990800002</v>
      </c>
      <c r="W51" s="58">
        <v>2.2875739482993556</v>
      </c>
      <c r="X51" s="59">
        <v>46241</v>
      </c>
      <c r="Y51" s="58">
        <v>2026</v>
      </c>
    </row>
    <row r="52" spans="1:28" x14ac:dyDescent="0.2">
      <c r="A52" s="58" t="s">
        <v>253</v>
      </c>
      <c r="B52" s="58" t="s">
        <v>350</v>
      </c>
      <c r="D52" s="58" t="s">
        <v>192</v>
      </c>
      <c r="E52" s="58" t="s">
        <v>24</v>
      </c>
      <c r="F52" s="59">
        <v>40763</v>
      </c>
      <c r="G52" s="58">
        <v>2011</v>
      </c>
      <c r="H52" s="58">
        <v>5</v>
      </c>
      <c r="I52" s="58">
        <v>1</v>
      </c>
      <c r="J52" s="58">
        <f t="shared" si="0"/>
        <v>5</v>
      </c>
      <c r="O52" s="58" t="s">
        <v>25</v>
      </c>
      <c r="X52" s="59">
        <v>46241</v>
      </c>
      <c r="Y52" s="58">
        <v>2026</v>
      </c>
    </row>
    <row r="53" spans="1:28" x14ac:dyDescent="0.2">
      <c r="A53" s="58" t="s">
        <v>254</v>
      </c>
      <c r="B53" s="58" t="s">
        <v>79</v>
      </c>
      <c r="C53" s="58" t="s">
        <v>79</v>
      </c>
      <c r="D53" s="58" t="s">
        <v>79</v>
      </c>
      <c r="E53" s="58" t="s">
        <v>24</v>
      </c>
      <c r="F53" s="59">
        <v>41381</v>
      </c>
      <c r="G53" s="58">
        <v>2013</v>
      </c>
      <c r="H53" s="58">
        <v>3</v>
      </c>
      <c r="I53" s="58">
        <v>1</v>
      </c>
      <c r="J53" s="58">
        <f t="shared" si="0"/>
        <v>3</v>
      </c>
      <c r="K53" s="58">
        <v>1757.1428575000002</v>
      </c>
      <c r="L53" s="58">
        <v>7.0285714300000013</v>
      </c>
      <c r="M53" s="58">
        <v>0.63033015549519045</v>
      </c>
      <c r="N53" s="58">
        <v>4.4303205223809536</v>
      </c>
      <c r="O53" s="58" t="s">
        <v>25</v>
      </c>
      <c r="P53" s="58">
        <v>94.6</v>
      </c>
      <c r="Q53" s="58">
        <v>0.66490285727800003</v>
      </c>
      <c r="R53" s="58">
        <v>0.41910832141723819</v>
      </c>
      <c r="S53" s="58">
        <v>2023</v>
      </c>
      <c r="T53" s="58">
        <v>94.6</v>
      </c>
      <c r="U53" s="58">
        <v>0.66490285727800003</v>
      </c>
      <c r="V53" s="58">
        <v>0.66490285727800003</v>
      </c>
      <c r="W53" s="58">
        <v>0.24579453586076189</v>
      </c>
      <c r="X53" s="59">
        <v>46859</v>
      </c>
      <c r="Y53" s="58">
        <v>2028</v>
      </c>
    </row>
    <row r="54" spans="1:28" x14ac:dyDescent="0.2">
      <c r="A54" s="58" t="s">
        <v>255</v>
      </c>
      <c r="B54" s="58" t="s">
        <v>351</v>
      </c>
      <c r="C54" s="58" t="s">
        <v>80</v>
      </c>
      <c r="D54" s="58" t="s">
        <v>80</v>
      </c>
      <c r="E54" s="58" t="s">
        <v>24</v>
      </c>
      <c r="F54" s="59">
        <v>41532</v>
      </c>
      <c r="G54" s="58">
        <v>2013</v>
      </c>
      <c r="H54" s="58">
        <v>8</v>
      </c>
      <c r="I54" s="58">
        <v>1</v>
      </c>
      <c r="J54" s="58">
        <f t="shared" si="0"/>
        <v>8</v>
      </c>
      <c r="K54" s="58">
        <v>2387.5</v>
      </c>
      <c r="L54" s="58">
        <v>19.100000000000001</v>
      </c>
      <c r="M54" s="58">
        <v>0.34134805709511484</v>
      </c>
      <c r="N54" s="58">
        <v>6.5197478905166939</v>
      </c>
      <c r="O54" s="58" t="s">
        <v>25</v>
      </c>
      <c r="P54" s="58">
        <v>88.6</v>
      </c>
      <c r="Q54" s="58">
        <v>1.6922600000000001</v>
      </c>
      <c r="R54" s="58">
        <v>0.57764966309977894</v>
      </c>
      <c r="S54" s="58">
        <v>2023</v>
      </c>
      <c r="T54" s="58">
        <v>88.6</v>
      </c>
      <c r="U54" s="58">
        <v>1.6922600000000001</v>
      </c>
      <c r="V54" s="58">
        <v>1.6922600000000001</v>
      </c>
      <c r="W54" s="58">
        <v>1.1146103369002209</v>
      </c>
      <c r="X54" s="59">
        <v>47010</v>
      </c>
      <c r="Y54" s="58">
        <v>2028</v>
      </c>
    </row>
    <row r="55" spans="1:28" x14ac:dyDescent="0.2">
      <c r="A55" s="58" t="s">
        <v>256</v>
      </c>
      <c r="B55" s="58" t="s">
        <v>352</v>
      </c>
      <c r="C55" s="58" t="s">
        <v>81</v>
      </c>
      <c r="D55" s="58" t="s">
        <v>194</v>
      </c>
      <c r="E55" s="58" t="s">
        <v>24</v>
      </c>
      <c r="F55" s="59">
        <v>41610</v>
      </c>
      <c r="G55" s="58">
        <v>2013</v>
      </c>
      <c r="H55" s="58">
        <v>4.2</v>
      </c>
      <c r="I55" s="58">
        <v>1</v>
      </c>
      <c r="J55" s="58">
        <f t="shared" si="0"/>
        <v>4.2</v>
      </c>
      <c r="K55" s="58">
        <v>1982.8124374999998</v>
      </c>
      <c r="L55" s="58">
        <v>63.449997999999994</v>
      </c>
      <c r="M55" s="58">
        <v>0.10944305029892429</v>
      </c>
      <c r="N55" s="58">
        <v>6.9441613225806451</v>
      </c>
      <c r="O55" s="58" t="s">
        <v>25</v>
      </c>
      <c r="P55" s="58">
        <v>88.5</v>
      </c>
      <c r="Q55" s="58">
        <v>5.615324822999999</v>
      </c>
      <c r="R55" s="58">
        <v>0.61455827704838717</v>
      </c>
      <c r="S55" s="58">
        <v>2023</v>
      </c>
      <c r="T55" s="58">
        <v>88.5</v>
      </c>
      <c r="U55" s="58">
        <v>5.615324822999999</v>
      </c>
      <c r="V55" s="58">
        <v>5.615324822999999</v>
      </c>
      <c r="W55" s="58">
        <v>5.0007665459516124</v>
      </c>
      <c r="X55" s="59">
        <v>47088</v>
      </c>
      <c r="Y55" s="58">
        <v>2028</v>
      </c>
    </row>
    <row r="56" spans="1:28" x14ac:dyDescent="0.2">
      <c r="A56" s="58" t="s">
        <v>257</v>
      </c>
      <c r="B56" s="58" t="s">
        <v>314</v>
      </c>
      <c r="D56" s="58" t="s">
        <v>195</v>
      </c>
      <c r="E56" s="58" t="s">
        <v>24</v>
      </c>
      <c r="F56" s="59">
        <v>41610</v>
      </c>
      <c r="G56" s="58">
        <v>2013</v>
      </c>
      <c r="H56" s="58">
        <v>17.5</v>
      </c>
      <c r="I56" s="58">
        <v>1</v>
      </c>
      <c r="J56" s="58">
        <f t="shared" si="0"/>
        <v>17.5</v>
      </c>
      <c r="O56" s="58" t="s">
        <v>25</v>
      </c>
      <c r="S56" s="58">
        <v>2023</v>
      </c>
      <c r="X56" s="59">
        <v>47088</v>
      </c>
      <c r="Y56" s="58">
        <v>2028</v>
      </c>
      <c r="AB56" s="59">
        <v>46387</v>
      </c>
    </row>
    <row r="57" spans="1:28" x14ac:dyDescent="0.2">
      <c r="A57" s="58" t="s">
        <v>317</v>
      </c>
      <c r="B57" s="58" t="s">
        <v>315</v>
      </c>
      <c r="D57" s="58" t="s">
        <v>196</v>
      </c>
      <c r="E57" s="58" t="s">
        <v>24</v>
      </c>
      <c r="F57" s="59">
        <v>41610</v>
      </c>
      <c r="G57" s="58">
        <v>2013</v>
      </c>
      <c r="H57" s="58">
        <v>4.4000000000000004</v>
      </c>
      <c r="I57" s="58">
        <v>1</v>
      </c>
      <c r="J57" s="58">
        <f t="shared" si="0"/>
        <v>4.4000000000000004</v>
      </c>
      <c r="O57" s="58" t="s">
        <v>25</v>
      </c>
      <c r="S57" s="58">
        <v>2023</v>
      </c>
      <c r="X57" s="59">
        <v>47088</v>
      </c>
      <c r="Y57" s="58">
        <v>2028</v>
      </c>
    </row>
    <row r="58" spans="1:28" x14ac:dyDescent="0.2">
      <c r="A58" s="58" t="s">
        <v>258</v>
      </c>
      <c r="B58" s="58" t="s">
        <v>316</v>
      </c>
      <c r="D58" s="58" t="s">
        <v>197</v>
      </c>
      <c r="E58" s="58" t="s">
        <v>24</v>
      </c>
      <c r="F58" s="59">
        <v>41610</v>
      </c>
      <c r="G58" s="58">
        <v>2013</v>
      </c>
      <c r="H58" s="58">
        <v>3.5</v>
      </c>
      <c r="I58" s="58">
        <v>1</v>
      </c>
      <c r="J58" s="58">
        <f t="shared" si="0"/>
        <v>3.5</v>
      </c>
      <c r="O58" s="58" t="s">
        <v>25</v>
      </c>
      <c r="S58" s="58">
        <v>2023</v>
      </c>
      <c r="X58" s="59">
        <v>47088</v>
      </c>
      <c r="Y58" s="58">
        <v>2028</v>
      </c>
    </row>
    <row r="59" spans="1:28" x14ac:dyDescent="0.2">
      <c r="A59" s="58" t="s">
        <v>259</v>
      </c>
      <c r="B59" s="58" t="s">
        <v>353</v>
      </c>
      <c r="C59" s="58" t="s">
        <v>83</v>
      </c>
      <c r="D59" s="58" t="s">
        <v>83</v>
      </c>
      <c r="E59" s="58" t="s">
        <v>24</v>
      </c>
      <c r="F59" s="59">
        <v>41927</v>
      </c>
      <c r="G59" s="58">
        <v>2014</v>
      </c>
      <c r="H59" s="58">
        <v>11.4</v>
      </c>
      <c r="I59" s="58">
        <v>1</v>
      </c>
      <c r="J59" s="58">
        <f t="shared" si="0"/>
        <v>11.4</v>
      </c>
      <c r="K59" s="58">
        <v>2372.8070175438593</v>
      </c>
      <c r="L59" s="58">
        <v>27.049999999999997</v>
      </c>
      <c r="M59" s="58">
        <v>0.262075398115512</v>
      </c>
      <c r="N59" s="58">
        <v>7.0891395190245987</v>
      </c>
      <c r="O59" s="58" t="s">
        <v>25</v>
      </c>
      <c r="P59" s="58">
        <v>88.1</v>
      </c>
      <c r="Q59" s="58">
        <v>2.3831049999999996</v>
      </c>
      <c r="R59" s="58">
        <v>0.62455319162606715</v>
      </c>
      <c r="S59" s="58">
        <v>2024</v>
      </c>
      <c r="T59" s="58">
        <v>88.1</v>
      </c>
      <c r="U59" s="58">
        <v>2.3831049999999996</v>
      </c>
      <c r="V59" s="58">
        <v>2.3831049999999996</v>
      </c>
      <c r="W59" s="58">
        <v>1.7585518083739324</v>
      </c>
      <c r="X59" s="59">
        <v>47405</v>
      </c>
      <c r="Y59" s="58">
        <v>2029</v>
      </c>
    </row>
    <row r="60" spans="1:28" x14ac:dyDescent="0.2">
      <c r="A60" s="58" t="s">
        <v>260</v>
      </c>
      <c r="B60" s="58" t="s">
        <v>355</v>
      </c>
      <c r="C60" s="58" t="s">
        <v>84</v>
      </c>
      <c r="D60" s="58" t="s">
        <v>84</v>
      </c>
      <c r="E60" s="58" t="s">
        <v>24</v>
      </c>
      <c r="F60" s="59">
        <v>41941</v>
      </c>
      <c r="G60" s="58">
        <v>2014</v>
      </c>
      <c r="H60" s="58">
        <v>8</v>
      </c>
      <c r="I60" s="58">
        <v>1</v>
      </c>
      <c r="J60" s="58">
        <f t="shared" si="0"/>
        <v>8</v>
      </c>
      <c r="K60" s="58">
        <v>2328.7501249999996</v>
      </c>
      <c r="L60" s="58">
        <v>18.630000999999996</v>
      </c>
      <c r="M60" s="58">
        <v>0.22524288438257847</v>
      </c>
      <c r="N60" s="58">
        <v>4.1962751612903206</v>
      </c>
      <c r="O60" s="58" t="s">
        <v>25</v>
      </c>
      <c r="P60" s="58">
        <v>88.1</v>
      </c>
      <c r="Q60" s="58">
        <v>1.6413030880999995</v>
      </c>
      <c r="R60" s="58">
        <v>0.36969184170967723</v>
      </c>
      <c r="S60" s="58">
        <v>2024</v>
      </c>
      <c r="T60" s="58">
        <v>88.1</v>
      </c>
      <c r="U60" s="58">
        <v>1.6413030880999995</v>
      </c>
      <c r="V60" s="58">
        <v>1.6413030880999995</v>
      </c>
      <c r="W60" s="58">
        <v>1.2716112463903226</v>
      </c>
      <c r="X60" s="59">
        <v>47419</v>
      </c>
      <c r="Y60" s="58">
        <v>2029</v>
      </c>
    </row>
    <row r="61" spans="1:28" x14ac:dyDescent="0.2">
      <c r="A61" s="58" t="s">
        <v>261</v>
      </c>
      <c r="B61" s="58" t="s">
        <v>354</v>
      </c>
      <c r="C61" s="58" t="s">
        <v>85</v>
      </c>
      <c r="D61" s="58" t="s">
        <v>85</v>
      </c>
      <c r="E61" s="58" t="s">
        <v>24</v>
      </c>
      <c r="F61" s="59">
        <v>41958</v>
      </c>
      <c r="G61" s="58">
        <v>2014</v>
      </c>
      <c r="H61" s="58">
        <v>11.4</v>
      </c>
      <c r="I61" s="58">
        <v>1</v>
      </c>
      <c r="J61" s="58">
        <f t="shared" si="0"/>
        <v>11.4</v>
      </c>
      <c r="K61" s="58">
        <v>2372.8070175438593</v>
      </c>
      <c r="L61" s="58">
        <v>27.049999999999997</v>
      </c>
      <c r="M61" s="58">
        <v>0.16462216817372943</v>
      </c>
      <c r="N61" s="58">
        <v>4.4530296490993804</v>
      </c>
      <c r="O61" s="58" t="s">
        <v>25</v>
      </c>
      <c r="P61" s="58">
        <v>88.1</v>
      </c>
      <c r="Q61" s="58">
        <v>2.3831049999999996</v>
      </c>
      <c r="R61" s="58">
        <v>0.39231191208565536</v>
      </c>
      <c r="S61" s="58">
        <v>2024</v>
      </c>
      <c r="T61" s="58">
        <v>88.1</v>
      </c>
      <c r="U61" s="58">
        <v>2.3831049999999996</v>
      </c>
      <c r="V61" s="58">
        <v>2.3831049999999996</v>
      </c>
      <c r="W61" s="58">
        <v>1.9907930879143441</v>
      </c>
      <c r="X61" s="59">
        <v>47436</v>
      </c>
      <c r="Y61" s="58">
        <v>2029</v>
      </c>
    </row>
    <row r="62" spans="1:28" x14ac:dyDescent="0.2">
      <c r="A62" s="58" t="s">
        <v>262</v>
      </c>
      <c r="B62" s="58" t="s">
        <v>356</v>
      </c>
      <c r="C62" s="58" t="s">
        <v>86</v>
      </c>
      <c r="D62" s="58" t="s">
        <v>87</v>
      </c>
      <c r="E62" s="58" t="s">
        <v>24</v>
      </c>
      <c r="F62" s="59">
        <v>42053</v>
      </c>
      <c r="G62" s="58">
        <v>2015</v>
      </c>
      <c r="H62" s="58">
        <v>11.4</v>
      </c>
      <c r="I62" s="58">
        <v>1</v>
      </c>
      <c r="J62" s="58">
        <f t="shared" si="0"/>
        <v>11.4</v>
      </c>
      <c r="K62" s="58">
        <v>2283.3333333333335</v>
      </c>
      <c r="L62" s="58">
        <v>26.030000000000005</v>
      </c>
      <c r="M62" s="58">
        <v>0.8128408210306789</v>
      </c>
      <c r="N62" s="58">
        <v>21.158246571428574</v>
      </c>
      <c r="O62" s="58" t="s">
        <v>25</v>
      </c>
      <c r="P62" s="58">
        <v>87.9</v>
      </c>
      <c r="Q62" s="58">
        <v>2.2880370000000005</v>
      </c>
      <c r="R62" s="58">
        <v>1.8598098736285718</v>
      </c>
      <c r="S62" s="58">
        <v>2025</v>
      </c>
      <c r="T62" s="58">
        <v>87.9</v>
      </c>
      <c r="U62" s="58">
        <v>2.2880370000000005</v>
      </c>
      <c r="V62" s="58">
        <v>2.2880370000000005</v>
      </c>
      <c r="W62" s="58">
        <v>0.42822712637142879</v>
      </c>
      <c r="X62" s="59">
        <v>47531</v>
      </c>
      <c r="Y62" s="58">
        <v>2030</v>
      </c>
    </row>
    <row r="63" spans="1:28" x14ac:dyDescent="0.2">
      <c r="A63" s="58" t="s">
        <v>263</v>
      </c>
      <c r="B63" s="58" t="s">
        <v>357</v>
      </c>
      <c r="C63" s="58" t="s">
        <v>88</v>
      </c>
      <c r="D63" s="58" t="s">
        <v>89</v>
      </c>
      <c r="E63" s="58" t="s">
        <v>24</v>
      </c>
      <c r="F63" s="59">
        <v>42076</v>
      </c>
      <c r="G63" s="58">
        <v>2015</v>
      </c>
      <c r="H63" s="58">
        <v>11.4</v>
      </c>
      <c r="I63" s="58">
        <v>1</v>
      </c>
      <c r="J63" s="58">
        <f t="shared" si="0"/>
        <v>11.4</v>
      </c>
      <c r="K63" s="58">
        <v>2283.3333333333335</v>
      </c>
      <c r="L63" s="58">
        <v>26.030000000000005</v>
      </c>
      <c r="M63" s="58">
        <v>0.7355626516550382</v>
      </c>
      <c r="N63" s="58">
        <v>19.146695822580647</v>
      </c>
      <c r="O63" s="58" t="s">
        <v>25</v>
      </c>
      <c r="P63" s="58">
        <v>87.9</v>
      </c>
      <c r="Q63" s="58">
        <v>2.2880370000000005</v>
      </c>
      <c r="R63" s="58">
        <v>1.6829945628048391</v>
      </c>
      <c r="S63" s="58">
        <v>2025</v>
      </c>
      <c r="T63" s="58">
        <v>87.9</v>
      </c>
      <c r="U63" s="58">
        <v>2.2880370000000005</v>
      </c>
      <c r="V63" s="58">
        <v>2.2880370000000005</v>
      </c>
      <c r="W63" s="58">
        <v>0.6050424371951616</v>
      </c>
      <c r="X63" s="59">
        <v>47554</v>
      </c>
      <c r="Y63" s="58">
        <v>2030</v>
      </c>
    </row>
    <row r="64" spans="1:28" x14ac:dyDescent="0.2">
      <c r="A64" s="58" t="s">
        <v>265</v>
      </c>
      <c r="B64" s="58" t="s">
        <v>90</v>
      </c>
      <c r="C64" s="58" t="s">
        <v>90</v>
      </c>
      <c r="D64" s="58" t="s">
        <v>90</v>
      </c>
      <c r="E64" s="58" t="s">
        <v>24</v>
      </c>
      <c r="F64" s="59">
        <v>42090</v>
      </c>
      <c r="G64" s="58">
        <v>2015</v>
      </c>
      <c r="H64" s="58">
        <v>10</v>
      </c>
      <c r="I64" s="58">
        <v>1</v>
      </c>
      <c r="J64" s="58">
        <f t="shared" si="0"/>
        <v>10</v>
      </c>
      <c r="K64" s="58">
        <v>2545</v>
      </c>
      <c r="L64" s="58">
        <v>25.45</v>
      </c>
      <c r="M64" s="58">
        <v>0.69457085620128023</v>
      </c>
      <c r="N64" s="58">
        <v>17.676828290322582</v>
      </c>
      <c r="O64" s="58" t="s">
        <v>25</v>
      </c>
      <c r="P64" s="58">
        <v>87.9</v>
      </c>
      <c r="Q64" s="58">
        <v>2.2370550000000002</v>
      </c>
      <c r="R64" s="58">
        <v>1.5537932067193552</v>
      </c>
      <c r="S64" s="58">
        <v>2025</v>
      </c>
      <c r="T64" s="58">
        <v>80.68625000000003</v>
      </c>
      <c r="U64" s="58">
        <v>2.0534650625000008</v>
      </c>
      <c r="V64" s="58">
        <v>2.1095387799206859</v>
      </c>
      <c r="W64" s="58">
        <v>0.62718807585995962</v>
      </c>
      <c r="X64" s="59">
        <v>47568</v>
      </c>
      <c r="Y64" s="58">
        <v>2030</v>
      </c>
    </row>
    <row r="65" spans="1:25" x14ac:dyDescent="0.2">
      <c r="A65" s="58" t="s">
        <v>267</v>
      </c>
      <c r="B65" s="58" t="s">
        <v>359</v>
      </c>
      <c r="C65" s="58" t="s">
        <v>91</v>
      </c>
      <c r="D65" s="58" t="s">
        <v>91</v>
      </c>
      <c r="E65" s="58" t="s">
        <v>73</v>
      </c>
      <c r="F65" s="59">
        <v>42276</v>
      </c>
      <c r="G65" s="58">
        <v>2015</v>
      </c>
      <c r="H65" s="58">
        <v>9.8000000000000007</v>
      </c>
      <c r="I65" s="58">
        <v>1</v>
      </c>
      <c r="J65" s="58">
        <f t="shared" si="0"/>
        <v>9.8000000000000007</v>
      </c>
      <c r="K65" s="58">
        <v>1556.5510204081631</v>
      </c>
      <c r="L65" s="58">
        <v>15.254200000000001</v>
      </c>
      <c r="M65" s="58">
        <v>0.1712020296049612</v>
      </c>
      <c r="N65" s="58">
        <v>2.6115499999999994</v>
      </c>
      <c r="O65" s="58" t="s">
        <v>25</v>
      </c>
      <c r="P65" s="58">
        <v>85.6</v>
      </c>
      <c r="Q65" s="58">
        <v>1.3057595200000001</v>
      </c>
      <c r="R65" s="58">
        <v>0.22354867999999994</v>
      </c>
      <c r="S65" s="58">
        <v>2035</v>
      </c>
      <c r="T65" s="58">
        <v>85.6</v>
      </c>
      <c r="U65" s="58">
        <v>1.3057595200000001</v>
      </c>
      <c r="V65" s="58">
        <v>1.3057595200000001</v>
      </c>
      <c r="W65" s="58">
        <v>1.0822108399999999</v>
      </c>
      <c r="X65" s="59">
        <v>49580</v>
      </c>
      <c r="Y65" s="58">
        <v>2035</v>
      </c>
    </row>
    <row r="66" spans="1:25" x14ac:dyDescent="0.2">
      <c r="A66" s="58" t="s">
        <v>266</v>
      </c>
      <c r="B66" s="58" t="s">
        <v>358</v>
      </c>
      <c r="C66" s="58" t="s">
        <v>92</v>
      </c>
      <c r="D66" s="58" t="s">
        <v>92</v>
      </c>
      <c r="E66" s="58" t="s">
        <v>24</v>
      </c>
      <c r="F66" s="59">
        <v>42344</v>
      </c>
      <c r="G66" s="58">
        <v>2015</v>
      </c>
      <c r="H66" s="58">
        <v>14.35</v>
      </c>
      <c r="I66" s="58">
        <v>1</v>
      </c>
      <c r="J66" s="58">
        <f t="shared" si="0"/>
        <v>14.35</v>
      </c>
      <c r="K66" s="58">
        <v>2334.4948432055749</v>
      </c>
      <c r="L66" s="58">
        <v>33.500000999999997</v>
      </c>
      <c r="M66" s="58">
        <v>7.6607725204776406E-2</v>
      </c>
      <c r="N66" s="58">
        <v>2.5663588709677345</v>
      </c>
      <c r="O66" s="58" t="s">
        <v>25</v>
      </c>
      <c r="P66" s="58">
        <v>87.7</v>
      </c>
      <c r="Q66" s="58">
        <v>2.9379500877</v>
      </c>
      <c r="R66" s="58">
        <v>0.22506967298387034</v>
      </c>
      <c r="S66" s="58">
        <v>2025</v>
      </c>
      <c r="T66" s="58">
        <v>87.7</v>
      </c>
      <c r="U66" s="58">
        <v>2.9379500877</v>
      </c>
      <c r="V66" s="58">
        <v>2.9379500877</v>
      </c>
      <c r="W66" s="58">
        <v>2.7128804147161296</v>
      </c>
      <c r="X66" s="59">
        <v>47822</v>
      </c>
      <c r="Y66" s="58">
        <v>2030</v>
      </c>
    </row>
    <row r="67" spans="1:25" x14ac:dyDescent="0.2">
      <c r="A67" s="58" t="s">
        <v>268</v>
      </c>
      <c r="B67" s="58" t="s">
        <v>93</v>
      </c>
      <c r="C67" s="58" t="s">
        <v>93</v>
      </c>
      <c r="D67" s="58" t="s">
        <v>93</v>
      </c>
      <c r="E67" s="58" t="s">
        <v>24</v>
      </c>
      <c r="F67" s="59">
        <v>42583</v>
      </c>
      <c r="G67" s="58">
        <v>2016</v>
      </c>
      <c r="H67" s="58">
        <v>13.8</v>
      </c>
      <c r="I67" s="58">
        <v>1</v>
      </c>
      <c r="J67" s="58">
        <f t="shared" ref="J67:J127" si="1">H67*I67</f>
        <v>13.8</v>
      </c>
      <c r="K67" s="58">
        <v>2165.2173913043475</v>
      </c>
      <c r="L67" s="58">
        <v>29.879999999999995</v>
      </c>
      <c r="M67" s="58">
        <v>0.41644250982424319</v>
      </c>
      <c r="N67" s="58">
        <v>12.443302193548385</v>
      </c>
      <c r="O67" s="58" t="s">
        <v>25</v>
      </c>
      <c r="P67" s="58">
        <v>87.7</v>
      </c>
      <c r="Q67" s="58">
        <v>2.6204759999999996</v>
      </c>
      <c r="R67" s="58">
        <v>1.0912776023741935</v>
      </c>
      <c r="S67" s="58">
        <v>2026</v>
      </c>
      <c r="T67" s="58">
        <v>87.7</v>
      </c>
      <c r="U67" s="58">
        <v>2.6204759999999996</v>
      </c>
      <c r="V67" s="58">
        <v>2.6204759999999996</v>
      </c>
      <c r="W67" s="58">
        <v>1.5291983976258063</v>
      </c>
      <c r="X67" s="59">
        <v>48060</v>
      </c>
      <c r="Y67" s="58">
        <v>2031</v>
      </c>
    </row>
    <row r="68" spans="1:25" x14ac:dyDescent="0.2">
      <c r="A68" s="58" t="s">
        <v>269</v>
      </c>
      <c r="B68" s="58" t="s">
        <v>94</v>
      </c>
      <c r="C68" s="58" t="s">
        <v>94</v>
      </c>
      <c r="D68" s="58" t="s">
        <v>94</v>
      </c>
      <c r="E68" s="58" t="s">
        <v>24</v>
      </c>
      <c r="F68" s="59">
        <v>42698</v>
      </c>
      <c r="G68" s="58">
        <v>2016</v>
      </c>
      <c r="H68" s="58">
        <v>12</v>
      </c>
      <c r="I68" s="58">
        <v>1</v>
      </c>
      <c r="J68" s="58">
        <f t="shared" si="1"/>
        <v>12</v>
      </c>
      <c r="K68" s="58">
        <v>2194.8750000000005</v>
      </c>
      <c r="L68" s="58">
        <v>26.338500000000007</v>
      </c>
      <c r="M68" s="58">
        <v>0.13749607039125242</v>
      </c>
      <c r="N68" s="58">
        <v>3.6214402500000027</v>
      </c>
      <c r="O68" s="58" t="s">
        <v>25</v>
      </c>
      <c r="P68" s="58">
        <v>87.3</v>
      </c>
      <c r="Q68" s="58">
        <v>2.2993510500000007</v>
      </c>
      <c r="R68" s="58">
        <v>0.31615173382500023</v>
      </c>
      <c r="S68" s="58">
        <v>2026</v>
      </c>
      <c r="T68" s="58">
        <v>87.3</v>
      </c>
      <c r="U68" s="58">
        <v>2.2993510500000007</v>
      </c>
      <c r="V68" s="58">
        <v>2.2993510500000003</v>
      </c>
      <c r="W68" s="58">
        <v>1.9831993161750003</v>
      </c>
      <c r="X68" s="59">
        <v>48175</v>
      </c>
      <c r="Y68" s="58">
        <v>2031</v>
      </c>
    </row>
    <row r="69" spans="1:25" x14ac:dyDescent="0.2">
      <c r="A69" s="58" t="s">
        <v>271</v>
      </c>
      <c r="B69" s="58" t="s">
        <v>95</v>
      </c>
      <c r="C69" s="58" t="s">
        <v>95</v>
      </c>
      <c r="D69" s="58" t="s">
        <v>95</v>
      </c>
      <c r="E69" s="58" t="s">
        <v>24</v>
      </c>
      <c r="F69" s="59">
        <v>42705</v>
      </c>
      <c r="G69" s="58">
        <v>2016</v>
      </c>
      <c r="H69" s="58">
        <v>9.6</v>
      </c>
      <c r="I69" s="58">
        <v>1</v>
      </c>
      <c r="J69" s="58">
        <f t="shared" si="1"/>
        <v>9.6</v>
      </c>
      <c r="K69" s="58">
        <v>2006.2498958333333</v>
      </c>
      <c r="L69" s="58">
        <v>19.259999000000001</v>
      </c>
      <c r="M69" s="58">
        <v>0.10612160132946379</v>
      </c>
      <c r="N69" s="58">
        <v>2.0439019354838712</v>
      </c>
      <c r="O69" s="58" t="s">
        <v>25</v>
      </c>
      <c r="P69" s="58">
        <v>87.4</v>
      </c>
      <c r="Q69" s="58">
        <v>1.6833239126000001</v>
      </c>
      <c r="R69" s="58">
        <v>0.17863702916129034</v>
      </c>
      <c r="S69" s="58">
        <v>2026</v>
      </c>
      <c r="T69" s="58">
        <v>87.4</v>
      </c>
      <c r="U69" s="58">
        <v>1.6833239126000001</v>
      </c>
      <c r="V69" s="58">
        <v>1.6833239126000001</v>
      </c>
      <c r="W69" s="58">
        <v>1.5046868834387099</v>
      </c>
      <c r="X69" s="59">
        <v>48182</v>
      </c>
      <c r="Y69" s="58">
        <v>2031</v>
      </c>
    </row>
    <row r="70" spans="1:25" x14ac:dyDescent="0.2">
      <c r="A70" s="58" t="s">
        <v>272</v>
      </c>
      <c r="B70" s="58" t="s">
        <v>96</v>
      </c>
      <c r="C70" s="58" t="s">
        <v>96</v>
      </c>
      <c r="D70" s="58" t="s">
        <v>96</v>
      </c>
      <c r="E70" s="58" t="s">
        <v>24</v>
      </c>
      <c r="F70" s="59">
        <v>42705</v>
      </c>
      <c r="G70" s="58">
        <v>2016</v>
      </c>
      <c r="H70" s="58">
        <v>12.5</v>
      </c>
      <c r="I70" s="58">
        <v>1</v>
      </c>
      <c r="J70" s="58">
        <f t="shared" si="1"/>
        <v>12.5</v>
      </c>
      <c r="K70" s="58">
        <v>1702.4000000000003</v>
      </c>
      <c r="L70" s="58">
        <v>21.280000000000005</v>
      </c>
      <c r="M70" s="58">
        <v>0.10992579735629418</v>
      </c>
      <c r="N70" s="58">
        <v>2.3392209677419409</v>
      </c>
      <c r="O70" s="58" t="s">
        <v>25</v>
      </c>
      <c r="P70" s="58">
        <v>87.4</v>
      </c>
      <c r="Q70" s="58">
        <v>1.8598720000000006</v>
      </c>
      <c r="R70" s="58">
        <v>0.20444791258064562</v>
      </c>
      <c r="S70" s="58">
        <v>2026</v>
      </c>
      <c r="T70" s="58">
        <v>87.4</v>
      </c>
      <c r="U70" s="58">
        <v>1.8598720000000006</v>
      </c>
      <c r="V70" s="58">
        <v>1.8598720000000006</v>
      </c>
      <c r="W70" s="58">
        <v>1.6554240874193549</v>
      </c>
      <c r="X70" s="59">
        <v>48182</v>
      </c>
      <c r="Y70" s="58">
        <v>2031</v>
      </c>
    </row>
    <row r="71" spans="1:25" x14ac:dyDescent="0.2">
      <c r="A71" s="58" t="s">
        <v>270</v>
      </c>
      <c r="B71" s="58" t="s">
        <v>97</v>
      </c>
      <c r="C71" s="58" t="s">
        <v>97</v>
      </c>
      <c r="D71" s="58" t="s">
        <v>97</v>
      </c>
      <c r="E71" s="58" t="s">
        <v>24</v>
      </c>
      <c r="F71" s="59">
        <v>42879</v>
      </c>
      <c r="G71" s="58">
        <v>2017</v>
      </c>
      <c r="H71" s="58">
        <v>4</v>
      </c>
      <c r="I71" s="58">
        <v>1</v>
      </c>
      <c r="J71" s="58">
        <f t="shared" si="1"/>
        <v>4</v>
      </c>
      <c r="K71" s="58">
        <v>2194.875</v>
      </c>
      <c r="L71" s="58">
        <v>8.7795000000000005</v>
      </c>
      <c r="M71" s="58">
        <v>0.5465707899083091</v>
      </c>
      <c r="N71" s="58">
        <v>4.7986182499999996</v>
      </c>
      <c r="O71" s="58" t="s">
        <v>25</v>
      </c>
      <c r="P71" s="58">
        <v>87.3</v>
      </c>
      <c r="Q71" s="58">
        <v>0.76645035000000006</v>
      </c>
      <c r="R71" s="58">
        <v>0.41891937322499995</v>
      </c>
      <c r="S71" s="58">
        <v>2027</v>
      </c>
      <c r="T71" s="58">
        <v>87.3</v>
      </c>
      <c r="U71" s="58">
        <v>0.76645035000000006</v>
      </c>
      <c r="V71" s="58">
        <v>0.76645035000000006</v>
      </c>
      <c r="W71" s="58">
        <v>0.34753097677500006</v>
      </c>
      <c r="X71" s="59">
        <v>48357</v>
      </c>
      <c r="Y71" s="58">
        <v>2032</v>
      </c>
    </row>
    <row r="72" spans="1:25" x14ac:dyDescent="0.2">
      <c r="A72" s="58" t="s">
        <v>273</v>
      </c>
      <c r="B72" s="58" t="s">
        <v>360</v>
      </c>
      <c r="C72" s="58" t="s">
        <v>98</v>
      </c>
      <c r="D72" s="58" t="s">
        <v>98</v>
      </c>
      <c r="E72" s="58" t="s">
        <v>24</v>
      </c>
      <c r="F72" s="59">
        <v>42926</v>
      </c>
      <c r="G72" s="58">
        <v>2017</v>
      </c>
      <c r="H72" s="58">
        <v>10</v>
      </c>
      <c r="I72" s="58">
        <v>1</v>
      </c>
      <c r="J72" s="58">
        <f t="shared" si="1"/>
        <v>10</v>
      </c>
      <c r="K72" s="58">
        <v>2899.0001000000002</v>
      </c>
      <c r="L72" s="58">
        <v>28.990001000000003</v>
      </c>
      <c r="M72" s="58">
        <v>0.46538532705722202</v>
      </c>
      <c r="N72" s="58">
        <v>13.491521096774195</v>
      </c>
      <c r="O72" s="58" t="s">
        <v>25</v>
      </c>
      <c r="P72" s="58">
        <v>85.7</v>
      </c>
      <c r="Q72" s="58">
        <v>2.4844430857000002</v>
      </c>
      <c r="R72" s="58">
        <v>1.1562233579935484</v>
      </c>
      <c r="S72" s="58">
        <v>2027</v>
      </c>
      <c r="T72" s="58">
        <v>63.049994999999996</v>
      </c>
      <c r="U72" s="58">
        <v>1.8278194180999952</v>
      </c>
      <c r="V72" s="58">
        <v>2.1788600654004591</v>
      </c>
      <c r="W72" s="58">
        <v>0.97717908040598767</v>
      </c>
      <c r="X72" s="59">
        <v>48404</v>
      </c>
      <c r="Y72" s="58">
        <v>2032</v>
      </c>
    </row>
    <row r="73" spans="1:25" x14ac:dyDescent="0.2">
      <c r="A73" s="58" t="s">
        <v>274</v>
      </c>
      <c r="B73" s="58" t="s">
        <v>361</v>
      </c>
      <c r="C73" s="58" t="s">
        <v>99</v>
      </c>
      <c r="D73" s="58" t="s">
        <v>200</v>
      </c>
      <c r="E73" s="58" t="s">
        <v>24</v>
      </c>
      <c r="F73" s="59">
        <v>42948</v>
      </c>
      <c r="G73" s="58">
        <v>2017</v>
      </c>
      <c r="H73" s="58">
        <v>14.8</v>
      </c>
      <c r="I73" s="58">
        <v>1</v>
      </c>
      <c r="J73" s="58">
        <f t="shared" si="1"/>
        <v>14.8</v>
      </c>
      <c r="K73" s="58">
        <v>2805.4166666666665</v>
      </c>
      <c r="L73" s="58">
        <v>67.33</v>
      </c>
      <c r="M73" s="58">
        <v>0.43134486616232981</v>
      </c>
      <c r="N73" s="58">
        <v>29.042449838709665</v>
      </c>
      <c r="O73" s="58" t="s">
        <v>25</v>
      </c>
      <c r="P73" s="58">
        <v>86.7</v>
      </c>
      <c r="Q73" s="58">
        <v>5.8375110000000001</v>
      </c>
      <c r="R73" s="58">
        <v>2.517980401016128</v>
      </c>
      <c r="S73" s="58">
        <v>2027</v>
      </c>
      <c r="T73" s="58">
        <v>67.729166666666657</v>
      </c>
      <c r="U73" s="58">
        <v>4.5602047916666661</v>
      </c>
      <c r="V73" s="58">
        <v>5.2865515245181447</v>
      </c>
      <c r="W73" s="58">
        <v>2.5931838661323927</v>
      </c>
      <c r="X73" s="59">
        <v>48426</v>
      </c>
      <c r="Y73" s="58">
        <v>2032</v>
      </c>
    </row>
    <row r="74" spans="1:25" x14ac:dyDescent="0.2">
      <c r="A74" s="58" t="s">
        <v>275</v>
      </c>
      <c r="B74" s="58" t="s">
        <v>362</v>
      </c>
      <c r="D74" s="58" t="s">
        <v>201</v>
      </c>
      <c r="E74" s="58" t="s">
        <v>24</v>
      </c>
      <c r="F74" s="59">
        <v>42949</v>
      </c>
      <c r="G74" s="58">
        <v>2017</v>
      </c>
      <c r="H74" s="58">
        <v>15.1</v>
      </c>
      <c r="I74" s="58">
        <v>1</v>
      </c>
      <c r="J74" s="58">
        <f t="shared" si="1"/>
        <v>15.1</v>
      </c>
      <c r="K74" s="58">
        <v>2805.4166666666665</v>
      </c>
      <c r="O74" s="58" t="s">
        <v>25</v>
      </c>
      <c r="S74" s="58">
        <v>2027</v>
      </c>
      <c r="X74" s="59">
        <v>48426</v>
      </c>
      <c r="Y74" s="58">
        <v>2032</v>
      </c>
    </row>
    <row r="75" spans="1:25" x14ac:dyDescent="0.2">
      <c r="A75" s="58" t="s">
        <v>276</v>
      </c>
      <c r="B75" s="58" t="s">
        <v>363</v>
      </c>
      <c r="C75" s="58" t="s">
        <v>101</v>
      </c>
      <c r="D75" s="58" t="s">
        <v>199</v>
      </c>
      <c r="E75" s="58" t="s">
        <v>24</v>
      </c>
      <c r="F75" s="59">
        <v>42965</v>
      </c>
      <c r="G75" s="58">
        <v>2017</v>
      </c>
      <c r="H75" s="58">
        <v>11.4</v>
      </c>
      <c r="I75" s="58">
        <v>1</v>
      </c>
      <c r="J75" s="58">
        <f t="shared" si="1"/>
        <v>11.4</v>
      </c>
      <c r="K75" s="58">
        <v>2433.3333333333335</v>
      </c>
      <c r="L75" s="58">
        <v>36.5</v>
      </c>
      <c r="M75" s="58">
        <v>0.39917982942996033</v>
      </c>
      <c r="N75" s="58">
        <v>14.570063774193551</v>
      </c>
      <c r="O75" s="58" t="s">
        <v>25</v>
      </c>
      <c r="P75" s="58">
        <v>85.8</v>
      </c>
      <c r="Q75" s="58">
        <v>3.1316999999999999</v>
      </c>
      <c r="R75" s="58">
        <v>1.2501114718258066</v>
      </c>
      <c r="S75" s="58">
        <v>2027</v>
      </c>
      <c r="T75" s="58">
        <v>84.316666666666677</v>
      </c>
      <c r="U75" s="58">
        <v>3.0775583333333341</v>
      </c>
      <c r="V75" s="58">
        <v>3.1100877387349466</v>
      </c>
      <c r="W75" s="58">
        <v>1.8490591227725808</v>
      </c>
      <c r="X75" s="59">
        <v>48443</v>
      </c>
      <c r="Y75" s="58">
        <v>2032</v>
      </c>
    </row>
    <row r="76" spans="1:25" x14ac:dyDescent="0.2">
      <c r="A76" s="58" t="s">
        <v>277</v>
      </c>
      <c r="B76" s="58" t="s">
        <v>364</v>
      </c>
      <c r="D76" s="58" t="s">
        <v>198</v>
      </c>
      <c r="E76" s="58" t="s">
        <v>24</v>
      </c>
      <c r="F76" s="59">
        <v>42965</v>
      </c>
      <c r="G76" s="58">
        <v>2017</v>
      </c>
      <c r="H76" s="58">
        <v>5.3</v>
      </c>
      <c r="I76" s="58">
        <v>1</v>
      </c>
      <c r="J76" s="58">
        <f t="shared" si="1"/>
        <v>5.3</v>
      </c>
      <c r="O76" s="58" t="s">
        <v>25</v>
      </c>
      <c r="S76" s="58">
        <v>2027</v>
      </c>
      <c r="X76" s="59">
        <v>48443</v>
      </c>
      <c r="Y76" s="58">
        <v>2032</v>
      </c>
    </row>
    <row r="77" spans="1:25" x14ac:dyDescent="0.2">
      <c r="A77" s="58" t="s">
        <v>278</v>
      </c>
      <c r="B77" s="58" t="s">
        <v>103</v>
      </c>
      <c r="C77" s="58" t="s">
        <v>103</v>
      </c>
      <c r="D77" s="58" t="s">
        <v>103</v>
      </c>
      <c r="E77" s="58" t="s">
        <v>24</v>
      </c>
      <c r="F77" s="59">
        <v>42997</v>
      </c>
      <c r="G77" s="58">
        <v>2017</v>
      </c>
      <c r="H77" s="58">
        <v>12.5</v>
      </c>
      <c r="I77" s="58">
        <v>1</v>
      </c>
      <c r="J77" s="58">
        <f t="shared" si="1"/>
        <v>12.5</v>
      </c>
      <c r="K77" s="58">
        <v>2264.0000800000003</v>
      </c>
      <c r="L77" s="58">
        <v>28.300001000000005</v>
      </c>
      <c r="M77" s="58">
        <v>0.33945079601469513</v>
      </c>
      <c r="N77" s="58">
        <v>9.6064578666666698</v>
      </c>
      <c r="O77" s="58" t="s">
        <v>25</v>
      </c>
      <c r="P77" s="58">
        <v>85.8</v>
      </c>
      <c r="Q77" s="58">
        <v>2.4281400858</v>
      </c>
      <c r="R77" s="58">
        <v>0.82423408496000028</v>
      </c>
      <c r="S77" s="58">
        <v>2027</v>
      </c>
      <c r="T77" s="58">
        <v>85.8</v>
      </c>
      <c r="U77" s="58">
        <v>2.4281400858</v>
      </c>
      <c r="V77" s="58">
        <v>2.4281400858000008</v>
      </c>
      <c r="W77" s="58">
        <v>1.6039060008400001</v>
      </c>
      <c r="X77" s="59">
        <v>48475</v>
      </c>
      <c r="Y77" s="58">
        <v>2032</v>
      </c>
    </row>
    <row r="78" spans="1:25" x14ac:dyDescent="0.2">
      <c r="A78" s="58" t="s">
        <v>264</v>
      </c>
      <c r="B78" s="58" t="s">
        <v>203</v>
      </c>
      <c r="C78" s="58" t="s">
        <v>104</v>
      </c>
      <c r="D78" s="58" t="s">
        <v>203</v>
      </c>
      <c r="E78" s="58" t="s">
        <v>24</v>
      </c>
      <c r="F78" s="59">
        <v>43060</v>
      </c>
      <c r="G78" s="58">
        <v>2017</v>
      </c>
      <c r="H78" s="58">
        <v>13.1</v>
      </c>
      <c r="I78" s="58">
        <v>1</v>
      </c>
      <c r="J78" s="58">
        <f t="shared" si="1"/>
        <v>13.1</v>
      </c>
      <c r="K78" s="58">
        <v>2607.1861038961038</v>
      </c>
      <c r="L78" s="58">
        <v>60.225999000000002</v>
      </c>
      <c r="M78" s="58">
        <v>0.13873717229663543</v>
      </c>
      <c r="N78" s="58">
        <v>8.3555847999999937</v>
      </c>
      <c r="O78" s="58" t="s">
        <v>25</v>
      </c>
      <c r="P78" s="58">
        <v>85.8</v>
      </c>
      <c r="Q78" s="58">
        <v>5.1673907141999997</v>
      </c>
      <c r="R78" s="58">
        <v>0.71690917583999947</v>
      </c>
      <c r="S78" s="58">
        <v>2027</v>
      </c>
      <c r="T78" s="58">
        <v>76.580218376623407</v>
      </c>
      <c r="U78" s="58">
        <v>4.6121201553703033</v>
      </c>
      <c r="V78" s="58">
        <v>5.090354047008395</v>
      </c>
      <c r="W78" s="58">
        <v>3.9722476467219079</v>
      </c>
      <c r="X78" s="59">
        <v>48538</v>
      </c>
      <c r="Y78" s="58">
        <v>2032</v>
      </c>
    </row>
    <row r="79" spans="1:25" x14ac:dyDescent="0.2">
      <c r="A79" s="58" t="s">
        <v>279</v>
      </c>
      <c r="B79" s="58" t="s">
        <v>202</v>
      </c>
      <c r="D79" s="58" t="s">
        <v>202</v>
      </c>
      <c r="E79" s="58" t="s">
        <v>24</v>
      </c>
      <c r="F79" s="59">
        <v>43060</v>
      </c>
      <c r="G79" s="58">
        <v>2017</v>
      </c>
      <c r="H79" s="58">
        <v>10</v>
      </c>
      <c r="I79" s="58">
        <v>1</v>
      </c>
      <c r="J79" s="58">
        <f t="shared" si="1"/>
        <v>10</v>
      </c>
      <c r="O79" s="58" t="s">
        <v>25</v>
      </c>
      <c r="S79" s="58">
        <v>2027</v>
      </c>
      <c r="X79" s="59">
        <v>48538</v>
      </c>
      <c r="Y79" s="58">
        <v>2032</v>
      </c>
    </row>
    <row r="80" spans="1:25" x14ac:dyDescent="0.2">
      <c r="A80" s="58" t="s">
        <v>280</v>
      </c>
      <c r="B80" s="58" t="s">
        <v>365</v>
      </c>
      <c r="C80" s="58" t="s">
        <v>106</v>
      </c>
      <c r="D80" s="58" t="s">
        <v>106</v>
      </c>
      <c r="E80" s="58" t="s">
        <v>24</v>
      </c>
      <c r="F80" s="59">
        <v>43075</v>
      </c>
      <c r="G80" s="58">
        <v>2017</v>
      </c>
      <c r="H80" s="58">
        <v>29.7</v>
      </c>
      <c r="I80" s="58">
        <v>1</v>
      </c>
      <c r="J80" s="58">
        <f t="shared" si="1"/>
        <v>29.7</v>
      </c>
      <c r="K80" s="58">
        <v>2424.006734006734</v>
      </c>
      <c r="L80" s="58">
        <v>71.992999999999995</v>
      </c>
      <c r="M80" s="58">
        <v>9.0598929196969422E-2</v>
      </c>
      <c r="N80" s="58">
        <v>6.5224887096774191</v>
      </c>
      <c r="O80" s="58" t="s">
        <v>25</v>
      </c>
      <c r="P80" s="58">
        <v>85.8</v>
      </c>
      <c r="Q80" s="58">
        <v>6.1769993999999997</v>
      </c>
      <c r="R80" s="58">
        <v>0.55962953129032256</v>
      </c>
      <c r="S80" s="58">
        <v>2027</v>
      </c>
      <c r="T80" s="58">
        <v>84.731700336700357</v>
      </c>
      <c r="U80" s="58">
        <v>6.1000893023400682</v>
      </c>
      <c r="V80" s="58">
        <v>6.1700314275075749</v>
      </c>
      <c r="W80" s="58">
        <v>5.5474277435421699</v>
      </c>
      <c r="X80" s="59">
        <v>48553</v>
      </c>
      <c r="Y80" s="58">
        <v>2032</v>
      </c>
    </row>
    <row r="81" spans="1:30" x14ac:dyDescent="0.2">
      <c r="A81" s="58" t="s">
        <v>281</v>
      </c>
      <c r="B81" s="58" t="s">
        <v>366</v>
      </c>
      <c r="C81" s="58" t="s">
        <v>107</v>
      </c>
      <c r="D81" s="58" t="s">
        <v>107</v>
      </c>
      <c r="E81" s="58" t="s">
        <v>24</v>
      </c>
      <c r="F81" s="59">
        <v>43367</v>
      </c>
      <c r="G81" s="58">
        <v>2018</v>
      </c>
      <c r="H81" s="58">
        <v>33</v>
      </c>
      <c r="I81" s="58">
        <v>1</v>
      </c>
      <c r="J81" s="58">
        <f t="shared" si="1"/>
        <v>33</v>
      </c>
      <c r="K81" s="58">
        <v>2792.4242727272731</v>
      </c>
      <c r="L81" s="58">
        <v>92.150001000000017</v>
      </c>
      <c r="M81" s="58">
        <v>0.31932043060965365</v>
      </c>
      <c r="N81" s="58">
        <v>29.42537800000002</v>
      </c>
      <c r="O81" s="58" t="s">
        <v>25</v>
      </c>
      <c r="P81" s="58">
        <v>83</v>
      </c>
      <c r="Q81" s="58">
        <v>7.648450083000002</v>
      </c>
      <c r="R81" s="58">
        <v>2.4423063740000015</v>
      </c>
      <c r="S81" s="58">
        <v>2028</v>
      </c>
      <c r="T81" s="58">
        <v>68.284089772727256</v>
      </c>
      <c r="U81" s="58">
        <v>6.2923789408409077</v>
      </c>
      <c r="V81" s="58">
        <v>7.2154288619484337</v>
      </c>
      <c r="W81" s="58">
        <v>4.2830937878924722</v>
      </c>
      <c r="X81" s="59">
        <v>48845</v>
      </c>
      <c r="Y81" s="58">
        <v>2033</v>
      </c>
    </row>
    <row r="82" spans="1:30" x14ac:dyDescent="0.2">
      <c r="A82" s="62" t="s">
        <v>398</v>
      </c>
      <c r="B82" s="62" t="s">
        <v>399</v>
      </c>
      <c r="C82" s="62" t="s">
        <v>108</v>
      </c>
      <c r="D82" s="62" t="s">
        <v>108</v>
      </c>
      <c r="E82" s="62" t="s">
        <v>24</v>
      </c>
      <c r="F82" s="66">
        <v>43405</v>
      </c>
      <c r="G82" s="62">
        <v>2018</v>
      </c>
      <c r="H82" s="62">
        <v>10</v>
      </c>
      <c r="I82" s="62">
        <v>1</v>
      </c>
      <c r="J82" s="62">
        <f t="shared" si="1"/>
        <v>10</v>
      </c>
      <c r="K82" s="62">
        <v>2659.9998000000001</v>
      </c>
      <c r="L82" s="62">
        <v>26.599997999999999</v>
      </c>
      <c r="M82" s="62">
        <v>0.20138913794905799</v>
      </c>
      <c r="N82" s="62">
        <v>5.3569506666666662</v>
      </c>
      <c r="O82" s="62" t="s">
        <v>109</v>
      </c>
      <c r="P82" s="62">
        <v>83.77</v>
      </c>
      <c r="Q82" s="62">
        <v>2.22828183246</v>
      </c>
      <c r="R82" s="62">
        <v>0.44875175734666656</v>
      </c>
      <c r="S82" s="62">
        <v>2028</v>
      </c>
      <c r="T82" s="62">
        <v>73.51950788500001</v>
      </c>
      <c r="U82" s="62">
        <v>1.9556187627019845</v>
      </c>
      <c r="V82" s="62">
        <v>2.1733704518908894</v>
      </c>
      <c r="W82" s="62">
        <v>1.5617783859244285</v>
      </c>
      <c r="X82" s="66">
        <v>48883</v>
      </c>
      <c r="Y82" s="62">
        <v>2033</v>
      </c>
      <c r="Z82" s="62"/>
      <c r="AA82" s="62"/>
      <c r="AB82" s="62"/>
      <c r="AC82" s="62"/>
      <c r="AD82" s="62"/>
    </row>
    <row r="83" spans="1:30" x14ac:dyDescent="0.2">
      <c r="A83" s="58" t="s">
        <v>282</v>
      </c>
      <c r="B83" s="58" t="s">
        <v>367</v>
      </c>
      <c r="C83" s="58" t="s">
        <v>110</v>
      </c>
      <c r="D83" s="58" t="s">
        <v>110</v>
      </c>
      <c r="E83" s="58" t="s">
        <v>24</v>
      </c>
      <c r="F83" s="59">
        <v>43409</v>
      </c>
      <c r="G83" s="58">
        <v>2018</v>
      </c>
      <c r="H83" s="58">
        <v>19.8</v>
      </c>
      <c r="I83" s="58">
        <v>1</v>
      </c>
      <c r="J83" s="58">
        <f t="shared" si="1"/>
        <v>19.8</v>
      </c>
      <c r="K83" s="58">
        <v>3331.3130808080805</v>
      </c>
      <c r="L83" s="58">
        <v>65.959998999999996</v>
      </c>
      <c r="M83" s="58">
        <v>0.1901116589364007</v>
      </c>
      <c r="N83" s="58">
        <v>12.539764833333331</v>
      </c>
      <c r="O83" s="58" t="s">
        <v>25</v>
      </c>
      <c r="P83" s="58">
        <v>82.5</v>
      </c>
      <c r="Q83" s="58">
        <v>5.4416999175000003</v>
      </c>
      <c r="R83" s="58">
        <v>1.0345305987499998</v>
      </c>
      <c r="S83" s="58">
        <v>2028</v>
      </c>
      <c r="T83" s="58">
        <v>41.434345959595959</v>
      </c>
      <c r="U83" s="58">
        <v>2.7330094180606035</v>
      </c>
      <c r="V83" s="58">
        <v>4.9267462731063087</v>
      </c>
      <c r="W83" s="58">
        <v>2.213432463704295</v>
      </c>
      <c r="X83" s="59">
        <v>48887</v>
      </c>
      <c r="Y83" s="58">
        <v>2033</v>
      </c>
    </row>
    <row r="84" spans="1:30" x14ac:dyDescent="0.2">
      <c r="A84" s="58" t="s">
        <v>283</v>
      </c>
      <c r="B84" s="58" t="s">
        <v>111</v>
      </c>
      <c r="C84" s="58" t="s">
        <v>111</v>
      </c>
      <c r="D84" s="58" t="s">
        <v>111</v>
      </c>
      <c r="E84" s="58" t="s">
        <v>24</v>
      </c>
      <c r="F84" s="59">
        <v>43413</v>
      </c>
      <c r="G84" s="58">
        <v>2018</v>
      </c>
      <c r="H84" s="58">
        <v>25.6</v>
      </c>
      <c r="I84" s="58">
        <v>1</v>
      </c>
      <c r="J84" s="58">
        <f t="shared" si="1"/>
        <v>25.6</v>
      </c>
      <c r="K84" s="58">
        <v>1852.407585546875</v>
      </c>
      <c r="L84" s="58">
        <v>47.421634190000006</v>
      </c>
      <c r="M84" s="58">
        <v>0.19175627409984047</v>
      </c>
      <c r="N84" s="58">
        <v>9.0933958840000084</v>
      </c>
      <c r="O84" s="58" t="s">
        <v>25</v>
      </c>
      <c r="P84" s="58">
        <v>82.5</v>
      </c>
      <c r="Q84" s="58">
        <v>3.9122848206750005</v>
      </c>
      <c r="R84" s="58">
        <v>0.75020516043000063</v>
      </c>
      <c r="S84" s="58">
        <v>2028</v>
      </c>
      <c r="T84" s="58">
        <v>82.5</v>
      </c>
      <c r="U84" s="58">
        <v>3.9122848206750005</v>
      </c>
      <c r="V84" s="58">
        <v>3.9122848206750005</v>
      </c>
      <c r="W84" s="58">
        <v>3.1620796602449994</v>
      </c>
      <c r="X84" s="59">
        <v>48891</v>
      </c>
      <c r="Y84" s="58">
        <v>2033</v>
      </c>
    </row>
    <row r="85" spans="1:30" x14ac:dyDescent="0.2">
      <c r="A85" s="58" t="s">
        <v>284</v>
      </c>
      <c r="B85" s="58" t="s">
        <v>112</v>
      </c>
      <c r="C85" s="58" t="s">
        <v>112</v>
      </c>
      <c r="D85" s="58" t="s">
        <v>112</v>
      </c>
      <c r="E85" s="58" t="s">
        <v>24</v>
      </c>
      <c r="F85" s="59">
        <v>43466</v>
      </c>
      <c r="G85" s="58">
        <v>2019</v>
      </c>
      <c r="H85" s="58">
        <v>10</v>
      </c>
      <c r="I85" s="58">
        <v>1</v>
      </c>
      <c r="J85" s="58">
        <f t="shared" si="1"/>
        <v>10</v>
      </c>
      <c r="K85" s="58">
        <v>2870</v>
      </c>
      <c r="L85" s="58">
        <v>28.7</v>
      </c>
      <c r="M85" s="58">
        <v>0.99655489153647303</v>
      </c>
      <c r="N85" s="58">
        <v>28.601125387096776</v>
      </c>
      <c r="O85" s="58" t="s">
        <v>109</v>
      </c>
      <c r="P85" s="58">
        <v>83.77</v>
      </c>
      <c r="Q85" s="58">
        <v>2.4041989999999998</v>
      </c>
      <c r="R85" s="58">
        <v>2.3959162736770967</v>
      </c>
      <c r="S85" s="58">
        <v>2029</v>
      </c>
      <c r="T85" s="58">
        <v>64.5</v>
      </c>
      <c r="U85" s="58">
        <v>1.8511499999999999</v>
      </c>
      <c r="V85" s="58">
        <v>1.8530553137906451</v>
      </c>
      <c r="W85" s="58">
        <v>6.3774125322579242E-3</v>
      </c>
      <c r="X85" s="59">
        <v>48944</v>
      </c>
      <c r="Y85" s="58">
        <v>2033</v>
      </c>
    </row>
    <row r="86" spans="1:30" x14ac:dyDescent="0.2">
      <c r="A86" s="58" t="s">
        <v>225</v>
      </c>
      <c r="B86" s="58" t="s">
        <v>327</v>
      </c>
      <c r="C86" s="58" t="s">
        <v>113</v>
      </c>
      <c r="D86" s="58" t="s">
        <v>113</v>
      </c>
      <c r="E86" s="58" t="s">
        <v>24</v>
      </c>
      <c r="F86" s="59">
        <v>43466</v>
      </c>
      <c r="G86" s="58">
        <v>2019</v>
      </c>
      <c r="H86" s="58">
        <v>23.1</v>
      </c>
      <c r="I86" s="58">
        <v>1</v>
      </c>
      <c r="J86" s="58">
        <f t="shared" si="1"/>
        <v>23.1</v>
      </c>
      <c r="K86" s="58">
        <v>2575.3246753246749</v>
      </c>
      <c r="L86" s="58">
        <v>59.489999999999995</v>
      </c>
      <c r="M86" s="58">
        <v>0.99630866125507667</v>
      </c>
      <c r="N86" s="58">
        <v>59.270402258064507</v>
      </c>
      <c r="O86" s="58" t="s">
        <v>109</v>
      </c>
      <c r="P86" s="58">
        <v>83.77</v>
      </c>
      <c r="Q86" s="58">
        <v>4.9834772999999997</v>
      </c>
      <c r="R86" s="58">
        <v>4.9650815971580631</v>
      </c>
      <c r="S86" s="58">
        <v>2029</v>
      </c>
      <c r="T86" s="58">
        <v>76.857824675324707</v>
      </c>
      <c r="U86" s="58">
        <v>4.572271989935067</v>
      </c>
      <c r="V86" s="58">
        <v>4.5737898880282275</v>
      </c>
      <c r="W86" s="58">
        <v>1.6877804748774899E-2</v>
      </c>
      <c r="X86" s="59">
        <v>48944</v>
      </c>
      <c r="Y86" s="58">
        <v>2033</v>
      </c>
    </row>
    <row r="87" spans="1:30" x14ac:dyDescent="0.2">
      <c r="A87" s="58" t="s">
        <v>285</v>
      </c>
      <c r="B87" s="58" t="s">
        <v>368</v>
      </c>
      <c r="C87" s="58" t="s">
        <v>114</v>
      </c>
      <c r="D87" s="58" t="s">
        <v>204</v>
      </c>
      <c r="E87" s="58" t="s">
        <v>24</v>
      </c>
      <c r="F87" s="59">
        <v>43497</v>
      </c>
      <c r="G87" s="58">
        <v>2019</v>
      </c>
      <c r="H87" s="58">
        <v>12.8</v>
      </c>
      <c r="I87" s="58">
        <v>1</v>
      </c>
      <c r="J87" s="58">
        <f t="shared" si="1"/>
        <v>12.8</v>
      </c>
      <c r="K87" s="58">
        <v>2681.818181818182</v>
      </c>
      <c r="L87" s="58">
        <v>53.100000000000009</v>
      </c>
      <c r="M87" s="58">
        <v>0.87897040713694141</v>
      </c>
      <c r="N87" s="58">
        <v>46.673328618971595</v>
      </c>
      <c r="O87" s="58" t="s">
        <v>109</v>
      </c>
      <c r="P87" s="58">
        <v>82.52</v>
      </c>
      <c r="Q87" s="58">
        <v>4.3818120000000009</v>
      </c>
      <c r="R87" s="58">
        <v>3.8514830776375359</v>
      </c>
      <c r="S87" s="58">
        <v>2029</v>
      </c>
      <c r="T87" s="58">
        <v>72.290000000000006</v>
      </c>
      <c r="U87" s="58">
        <v>3.8385990000000012</v>
      </c>
      <c r="V87" s="58">
        <v>3.9043438482279216</v>
      </c>
      <c r="W87" s="58">
        <v>0.46458407413454406</v>
      </c>
      <c r="X87" s="59">
        <v>48975</v>
      </c>
      <c r="Y87" s="58">
        <v>2034</v>
      </c>
    </row>
    <row r="88" spans="1:30" x14ac:dyDescent="0.2">
      <c r="A88" s="58" t="s">
        <v>286</v>
      </c>
      <c r="B88" s="58" t="s">
        <v>369</v>
      </c>
      <c r="D88" s="58" t="s">
        <v>205</v>
      </c>
      <c r="E88" s="58" t="s">
        <v>24</v>
      </c>
      <c r="F88" s="59">
        <v>43497</v>
      </c>
      <c r="G88" s="58">
        <v>2019</v>
      </c>
      <c r="H88" s="58">
        <v>7</v>
      </c>
      <c r="I88" s="58">
        <v>1</v>
      </c>
      <c r="J88" s="58">
        <f t="shared" si="1"/>
        <v>7</v>
      </c>
      <c r="K88" s="58">
        <v>2681.818181818182</v>
      </c>
      <c r="O88" s="58" t="s">
        <v>109</v>
      </c>
      <c r="S88" s="58">
        <v>2029</v>
      </c>
      <c r="X88" s="59">
        <v>48975</v>
      </c>
      <c r="Y88" s="58">
        <v>2034</v>
      </c>
    </row>
    <row r="89" spans="1:30" x14ac:dyDescent="0.2">
      <c r="A89" s="58" t="s">
        <v>287</v>
      </c>
      <c r="B89" s="58" t="s">
        <v>370</v>
      </c>
      <c r="C89" s="58" t="s">
        <v>116</v>
      </c>
      <c r="D89" s="58" t="s">
        <v>116</v>
      </c>
      <c r="E89" s="58" t="s">
        <v>24</v>
      </c>
      <c r="F89" s="59">
        <v>43617</v>
      </c>
      <c r="G89" s="58">
        <v>2019</v>
      </c>
      <c r="H89" s="58">
        <v>10</v>
      </c>
      <c r="I89" s="58">
        <v>1</v>
      </c>
      <c r="J89" s="58">
        <f t="shared" si="1"/>
        <v>10</v>
      </c>
      <c r="K89" s="58">
        <v>3280.0001999999999</v>
      </c>
      <c r="L89" s="58">
        <v>32.800001999999999</v>
      </c>
      <c r="M89" s="58">
        <v>0.54924968703762067</v>
      </c>
      <c r="N89" s="58">
        <v>18.015390833333331</v>
      </c>
      <c r="O89" s="58" t="s">
        <v>117</v>
      </c>
      <c r="P89" s="58">
        <v>70.193169061392126</v>
      </c>
      <c r="Q89" s="58">
        <v>2.3023360855999999</v>
      </c>
      <c r="R89" s="58">
        <v>1.2645573744712206</v>
      </c>
      <c r="S89" s="58">
        <v>2039</v>
      </c>
      <c r="T89" s="58">
        <v>70.193169061392126</v>
      </c>
      <c r="U89" s="58">
        <v>2.3023360855999999</v>
      </c>
      <c r="V89" s="58">
        <v>2.3023360855999999</v>
      </c>
      <c r="W89" s="58">
        <v>1.0377787111287793</v>
      </c>
      <c r="X89" s="59">
        <v>50921</v>
      </c>
      <c r="Y89" s="58">
        <v>2039</v>
      </c>
    </row>
    <row r="90" spans="1:30" x14ac:dyDescent="0.2">
      <c r="A90" s="58" t="s">
        <v>288</v>
      </c>
      <c r="B90" s="58" t="s">
        <v>371</v>
      </c>
      <c r="C90" s="58" t="s">
        <v>118</v>
      </c>
      <c r="D90" s="58" t="s">
        <v>118</v>
      </c>
      <c r="E90" s="58" t="s">
        <v>24</v>
      </c>
      <c r="F90" s="59">
        <v>43800</v>
      </c>
      <c r="G90" s="58">
        <v>2019</v>
      </c>
      <c r="H90" s="58">
        <v>24.15</v>
      </c>
      <c r="I90" s="58">
        <v>1</v>
      </c>
      <c r="J90" s="58">
        <f t="shared" si="1"/>
        <v>24.15</v>
      </c>
      <c r="K90" s="58">
        <v>3080.7453416149069</v>
      </c>
      <c r="L90" s="58">
        <v>74.400000000000006</v>
      </c>
      <c r="M90" s="58">
        <v>0.10740528095733611</v>
      </c>
      <c r="N90" s="58">
        <v>7.9909529032258071</v>
      </c>
      <c r="O90" s="58" t="s">
        <v>109</v>
      </c>
      <c r="P90" s="58">
        <v>82.52</v>
      </c>
      <c r="Q90" s="58">
        <v>6.1394880000000001</v>
      </c>
      <c r="R90" s="58">
        <v>0.65941343357419357</v>
      </c>
      <c r="S90" s="58">
        <v>2029</v>
      </c>
      <c r="T90" s="58">
        <v>53.962732919254648</v>
      </c>
      <c r="U90" s="58">
        <v>4.0148273291925465</v>
      </c>
      <c r="V90" s="58">
        <v>5.9112882237129227</v>
      </c>
      <c r="W90" s="58">
        <v>3.5836136719054297</v>
      </c>
      <c r="X90" s="59">
        <v>49278</v>
      </c>
      <c r="Y90" s="58">
        <v>2034</v>
      </c>
    </row>
    <row r="91" spans="1:30" x14ac:dyDescent="0.2">
      <c r="A91" s="60"/>
      <c r="B91" s="60"/>
      <c r="C91" s="60" t="s">
        <v>119</v>
      </c>
      <c r="D91" s="60" t="s">
        <v>119</v>
      </c>
      <c r="E91" s="60" t="s">
        <v>24</v>
      </c>
      <c r="F91" s="65">
        <v>43936</v>
      </c>
      <c r="G91" s="60">
        <v>2020</v>
      </c>
      <c r="H91" s="60">
        <v>-18</v>
      </c>
      <c r="I91" s="60">
        <v>1</v>
      </c>
      <c r="J91" s="60">
        <f t="shared" si="1"/>
        <v>-18</v>
      </c>
      <c r="K91" s="60">
        <v>3033.3333333333335</v>
      </c>
      <c r="L91" s="60">
        <v>-54.6</v>
      </c>
      <c r="M91" s="60">
        <v>0.69780219780219777</v>
      </c>
      <c r="N91" s="60">
        <v>-0.89032258064516745</v>
      </c>
      <c r="O91" s="60" t="s">
        <v>120</v>
      </c>
      <c r="P91" s="60">
        <v>0</v>
      </c>
      <c r="Q91" s="60" t="s">
        <v>120</v>
      </c>
      <c r="R91" s="60" t="s">
        <v>120</v>
      </c>
      <c r="S91" s="60">
        <v>2020</v>
      </c>
      <c r="T91" s="60" t="s">
        <v>120</v>
      </c>
      <c r="U91" s="60" t="s">
        <v>120</v>
      </c>
      <c r="V91" s="60" t="s">
        <v>120</v>
      </c>
      <c r="W91" s="60" t="s">
        <v>120</v>
      </c>
      <c r="X91" s="65">
        <v>43936</v>
      </c>
      <c r="Y91" s="60">
        <v>2020</v>
      </c>
      <c r="Z91" s="60"/>
      <c r="AA91" s="60"/>
      <c r="AB91" s="60"/>
      <c r="AC91" s="60"/>
      <c r="AD91" s="60"/>
    </row>
    <row r="92" spans="1:30" x14ac:dyDescent="0.2">
      <c r="A92" s="58" t="s">
        <v>121</v>
      </c>
      <c r="B92" s="58" t="s">
        <v>372</v>
      </c>
      <c r="C92" s="58" t="s">
        <v>121</v>
      </c>
      <c r="D92" s="58" t="s">
        <v>121</v>
      </c>
      <c r="E92" s="58" t="s">
        <v>24</v>
      </c>
      <c r="F92" s="59">
        <v>44075</v>
      </c>
      <c r="G92" s="58">
        <v>2020</v>
      </c>
      <c r="H92" s="58">
        <v>15</v>
      </c>
      <c r="I92" s="58">
        <v>1</v>
      </c>
      <c r="J92" s="58">
        <f t="shared" si="1"/>
        <v>15</v>
      </c>
      <c r="K92" s="58">
        <v>3050.1333333333332</v>
      </c>
      <c r="L92" s="58">
        <v>45.752000000000002</v>
      </c>
      <c r="M92" s="58">
        <v>0.36321333333333339</v>
      </c>
      <c r="N92" s="58">
        <v>16.617736426666671</v>
      </c>
      <c r="O92" s="58" t="s">
        <v>122</v>
      </c>
      <c r="P92" s="58">
        <v>69.849999999999994</v>
      </c>
      <c r="Q92" s="58">
        <v>3.1957772000000002</v>
      </c>
      <c r="R92" s="58">
        <v>1.160748889402667</v>
      </c>
      <c r="S92" s="58">
        <v>2040</v>
      </c>
      <c r="T92" s="58">
        <v>69.849999999999994</v>
      </c>
      <c r="U92" s="58">
        <v>3.1957772000000002</v>
      </c>
      <c r="V92" s="58">
        <v>3.1957772000000002</v>
      </c>
      <c r="W92" s="58">
        <v>2.0350283105973332</v>
      </c>
      <c r="X92" s="59">
        <v>51379</v>
      </c>
      <c r="Y92" s="58">
        <v>2040</v>
      </c>
    </row>
    <row r="93" spans="1:30" x14ac:dyDescent="0.2">
      <c r="A93" s="58" t="s">
        <v>289</v>
      </c>
      <c r="B93" s="58" t="s">
        <v>373</v>
      </c>
      <c r="C93" s="58" t="s">
        <v>123</v>
      </c>
      <c r="D93" s="58" t="s">
        <v>123</v>
      </c>
      <c r="E93" s="58" t="s">
        <v>24</v>
      </c>
      <c r="F93" s="59">
        <v>44136</v>
      </c>
      <c r="G93" s="58">
        <v>2020</v>
      </c>
      <c r="H93" s="58">
        <v>11</v>
      </c>
      <c r="I93" s="58">
        <v>1</v>
      </c>
      <c r="J93" s="58">
        <f t="shared" si="1"/>
        <v>11</v>
      </c>
      <c r="K93" s="58">
        <v>2782.181818181818</v>
      </c>
      <c r="L93" s="58">
        <v>30.603999999999999</v>
      </c>
      <c r="M93" s="58">
        <v>0.19787604395544889</v>
      </c>
      <c r="N93" s="58">
        <v>6.0557984492125581</v>
      </c>
      <c r="O93" s="58" t="s">
        <v>117</v>
      </c>
      <c r="P93" s="58">
        <v>75.078133577310155</v>
      </c>
      <c r="Q93" s="58">
        <v>2.2976911999999996</v>
      </c>
      <c r="R93" s="58">
        <v>0.45465804488724815</v>
      </c>
      <c r="S93" s="58">
        <v>2040</v>
      </c>
      <c r="T93" s="58">
        <v>75.078133577310155</v>
      </c>
      <c r="U93" s="58">
        <v>2.2976911999999996</v>
      </c>
      <c r="V93" s="58">
        <v>2.2976911999999996</v>
      </c>
      <c r="W93" s="58">
        <v>1.8430331551127517</v>
      </c>
      <c r="X93" s="59">
        <v>51440</v>
      </c>
      <c r="Y93" s="58">
        <v>2040</v>
      </c>
    </row>
    <row r="94" spans="1:30" x14ac:dyDescent="0.2">
      <c r="A94" s="58" t="s">
        <v>290</v>
      </c>
      <c r="B94" s="58" t="s">
        <v>374</v>
      </c>
      <c r="C94" s="58" t="s">
        <v>124</v>
      </c>
      <c r="D94" s="58" t="s">
        <v>124</v>
      </c>
      <c r="E94" s="58" t="s">
        <v>24</v>
      </c>
      <c r="F94" s="59">
        <v>44166</v>
      </c>
      <c r="G94" s="58">
        <v>2020</v>
      </c>
      <c r="H94" s="58">
        <v>17.25</v>
      </c>
      <c r="I94" s="58">
        <v>1</v>
      </c>
      <c r="J94" s="58">
        <f t="shared" si="1"/>
        <v>17.25</v>
      </c>
      <c r="K94" s="58">
        <v>2649.2753623188405</v>
      </c>
      <c r="L94" s="58">
        <v>45.7</v>
      </c>
      <c r="M94" s="58">
        <v>0.10790865454771144</v>
      </c>
      <c r="N94" s="58">
        <v>4.9314255128304127</v>
      </c>
      <c r="O94" s="58" t="s">
        <v>122</v>
      </c>
      <c r="P94" s="58">
        <v>65.900000000000006</v>
      </c>
      <c r="Q94" s="58">
        <v>3.0116300000000007</v>
      </c>
      <c r="R94" s="58">
        <v>0.32498094129552424</v>
      </c>
      <c r="S94" s="58">
        <v>2040</v>
      </c>
      <c r="T94" s="58">
        <v>65.900000000000006</v>
      </c>
      <c r="U94" s="58">
        <v>3.0116300000000007</v>
      </c>
      <c r="V94" s="58">
        <v>3.0116300000000007</v>
      </c>
      <c r="W94" s="58">
        <v>2.686649058704476</v>
      </c>
      <c r="X94" s="59">
        <v>51470</v>
      </c>
      <c r="Y94" s="58">
        <v>2040</v>
      </c>
    </row>
    <row r="95" spans="1:30" x14ac:dyDescent="0.2">
      <c r="A95" s="58" t="s">
        <v>291</v>
      </c>
      <c r="B95" s="58" t="s">
        <v>375</v>
      </c>
      <c r="C95" s="58" t="s">
        <v>125</v>
      </c>
      <c r="D95" s="58" t="s">
        <v>125</v>
      </c>
      <c r="E95" s="58" t="s">
        <v>24</v>
      </c>
      <c r="F95" s="59">
        <v>44197</v>
      </c>
      <c r="G95" s="58">
        <v>2021</v>
      </c>
      <c r="H95" s="58">
        <v>35.35</v>
      </c>
      <c r="I95" s="58">
        <v>1</v>
      </c>
      <c r="J95" s="58">
        <f t="shared" si="1"/>
        <v>35.35</v>
      </c>
      <c r="K95" s="58">
        <v>2746.8175388967466</v>
      </c>
      <c r="L95" s="58">
        <v>97.1</v>
      </c>
      <c r="M95" s="58">
        <v>0.99734136830911024</v>
      </c>
      <c r="N95" s="58">
        <v>96.841846862814606</v>
      </c>
      <c r="O95" s="58" t="s">
        <v>122</v>
      </c>
      <c r="P95" s="58">
        <v>72.849999999999994</v>
      </c>
      <c r="Q95" s="58">
        <v>7.0737349999999983</v>
      </c>
      <c r="R95" s="58">
        <v>7.0549285439560432</v>
      </c>
      <c r="S95" s="58">
        <v>2041</v>
      </c>
      <c r="T95" s="58">
        <v>72.849999999999994</v>
      </c>
      <c r="U95" s="58">
        <v>7.0737349999999983</v>
      </c>
      <c r="V95" s="58">
        <v>7.0737349999999983</v>
      </c>
      <c r="W95" s="58">
        <v>1.880645604395555E-2</v>
      </c>
      <c r="X95" s="59">
        <v>51501</v>
      </c>
      <c r="Y95" s="58">
        <v>2040</v>
      </c>
    </row>
    <row r="96" spans="1:30" x14ac:dyDescent="0.2">
      <c r="A96" s="58" t="s">
        <v>292</v>
      </c>
      <c r="B96" s="58" t="s">
        <v>126</v>
      </c>
      <c r="C96" s="58" t="s">
        <v>126</v>
      </c>
      <c r="D96" s="58" t="s">
        <v>126</v>
      </c>
      <c r="E96" s="58" t="s">
        <v>24</v>
      </c>
      <c r="F96" s="59">
        <v>44317</v>
      </c>
      <c r="G96" s="58">
        <v>2021</v>
      </c>
      <c r="H96" s="58">
        <v>12</v>
      </c>
      <c r="I96" s="58">
        <v>1</v>
      </c>
      <c r="J96" s="58">
        <f t="shared" si="1"/>
        <v>12</v>
      </c>
      <c r="K96" s="58">
        <v>2658.3333333333335</v>
      </c>
      <c r="L96" s="58">
        <v>31.9</v>
      </c>
      <c r="M96" s="58">
        <v>0.60236785848612029</v>
      </c>
      <c r="N96" s="58">
        <v>19.215534685707237</v>
      </c>
      <c r="O96" s="58" t="s">
        <v>117</v>
      </c>
      <c r="P96" s="58">
        <v>74.8</v>
      </c>
      <c r="Q96" s="58">
        <v>2.38612</v>
      </c>
      <c r="R96" s="58">
        <v>1.4373219944909013</v>
      </c>
      <c r="S96" s="58">
        <v>2041</v>
      </c>
      <c r="T96" s="58">
        <v>74.8</v>
      </c>
      <c r="U96" s="58">
        <v>2.38612</v>
      </c>
      <c r="V96" s="58">
        <v>2.38612</v>
      </c>
      <c r="W96" s="58">
        <v>0.94879800550909854</v>
      </c>
      <c r="X96" s="59">
        <v>51621</v>
      </c>
      <c r="Y96" s="58">
        <v>2041</v>
      </c>
    </row>
    <row r="97" spans="1:30" x14ac:dyDescent="0.2">
      <c r="A97" s="58" t="s">
        <v>293</v>
      </c>
      <c r="B97" s="58" t="s">
        <v>376</v>
      </c>
      <c r="C97" s="58" t="s">
        <v>127</v>
      </c>
      <c r="D97" s="58" t="s">
        <v>127</v>
      </c>
      <c r="E97" s="58" t="s">
        <v>24</v>
      </c>
      <c r="F97" s="59">
        <v>44440</v>
      </c>
      <c r="G97" s="58">
        <v>2021</v>
      </c>
      <c r="H97" s="58">
        <v>13.8</v>
      </c>
      <c r="I97" s="58">
        <v>1</v>
      </c>
      <c r="J97" s="58">
        <f t="shared" si="1"/>
        <v>13.8</v>
      </c>
      <c r="K97" s="58">
        <v>2905.797101449275</v>
      </c>
      <c r="L97" s="58">
        <v>40.1</v>
      </c>
      <c r="M97" s="58">
        <v>0.36642228452210196</v>
      </c>
      <c r="N97" s="58">
        <v>14.693533609336288</v>
      </c>
      <c r="O97" s="58" t="s">
        <v>122</v>
      </c>
      <c r="P97" s="58">
        <v>67.900000000000006</v>
      </c>
      <c r="Q97" s="58">
        <v>2.7227900000000003</v>
      </c>
      <c r="R97" s="58">
        <v>0.997690932073934</v>
      </c>
      <c r="S97" s="58">
        <v>2041</v>
      </c>
      <c r="T97" s="58">
        <v>67.900000000000006</v>
      </c>
      <c r="U97" s="58">
        <v>2.7227900000000003</v>
      </c>
      <c r="V97" s="58">
        <v>2.7227900000000003</v>
      </c>
      <c r="W97" s="58">
        <v>1.7250990679260663</v>
      </c>
      <c r="X97" s="59">
        <v>51744</v>
      </c>
      <c r="Y97" s="58">
        <v>2041</v>
      </c>
    </row>
    <row r="98" spans="1:30" x14ac:dyDescent="0.2">
      <c r="A98" s="58" t="s">
        <v>294</v>
      </c>
      <c r="B98" s="58" t="s">
        <v>377</v>
      </c>
      <c r="C98" s="58" t="s">
        <v>128</v>
      </c>
      <c r="D98" s="58" t="s">
        <v>128</v>
      </c>
      <c r="E98" s="58" t="s">
        <v>73</v>
      </c>
      <c r="F98" s="59">
        <v>44470</v>
      </c>
      <c r="G98" s="58">
        <v>2021</v>
      </c>
      <c r="H98" s="58">
        <v>14.66</v>
      </c>
      <c r="I98" s="58">
        <v>1</v>
      </c>
      <c r="J98" s="58">
        <f t="shared" si="1"/>
        <v>14.66</v>
      </c>
      <c r="K98" s="58">
        <v>1512.9604365620737</v>
      </c>
      <c r="L98" s="58">
        <v>22.18</v>
      </c>
      <c r="M98" s="58">
        <v>0.13651459594479287</v>
      </c>
      <c r="N98" s="58">
        <v>3.0278937380555058</v>
      </c>
      <c r="O98" s="58" t="s">
        <v>122</v>
      </c>
      <c r="P98" s="58">
        <v>59.9</v>
      </c>
      <c r="Q98" s="58">
        <v>1.3285819999999999</v>
      </c>
      <c r="R98" s="58">
        <v>0.1813708349095248</v>
      </c>
      <c r="S98" s="58">
        <v>2041</v>
      </c>
      <c r="T98" s="58">
        <v>59.9</v>
      </c>
      <c r="U98" s="58">
        <v>1.3285819999999999</v>
      </c>
      <c r="V98" s="58">
        <v>1.3285819999999999</v>
      </c>
      <c r="W98" s="58">
        <v>1.147211165090475</v>
      </c>
      <c r="X98" s="59">
        <v>51774</v>
      </c>
      <c r="Y98" s="58">
        <v>2041</v>
      </c>
    </row>
    <row r="99" spans="1:30" x14ac:dyDescent="0.2">
      <c r="A99" s="58" t="s">
        <v>295</v>
      </c>
      <c r="B99" s="58" t="s">
        <v>378</v>
      </c>
      <c r="C99" s="58" t="s">
        <v>129</v>
      </c>
      <c r="D99" s="58" t="s">
        <v>129</v>
      </c>
      <c r="E99" s="58" t="s">
        <v>73</v>
      </c>
      <c r="F99" s="59">
        <v>44501</v>
      </c>
      <c r="G99" s="58">
        <v>2021</v>
      </c>
      <c r="H99" s="58">
        <v>12.53</v>
      </c>
      <c r="I99" s="58">
        <v>1</v>
      </c>
      <c r="J99" s="58">
        <f t="shared" si="1"/>
        <v>12.53</v>
      </c>
      <c r="K99" s="58">
        <v>1413.4078212290503</v>
      </c>
      <c r="L99" s="58">
        <v>17.71</v>
      </c>
      <c r="M99" s="58">
        <v>4.8786478995596155E-2</v>
      </c>
      <c r="N99" s="58">
        <v>0.86400854301200791</v>
      </c>
      <c r="O99" s="58" t="s">
        <v>122</v>
      </c>
      <c r="P99" s="58">
        <v>58</v>
      </c>
      <c r="Q99" s="58">
        <v>1.02718</v>
      </c>
      <c r="R99" s="58">
        <v>5.0112495494696457E-2</v>
      </c>
      <c r="S99" s="58">
        <v>2041</v>
      </c>
      <c r="T99" s="58">
        <v>58</v>
      </c>
      <c r="U99" s="58">
        <v>1.02718</v>
      </c>
      <c r="V99" s="58">
        <v>1.02718</v>
      </c>
      <c r="W99" s="58">
        <v>0.97706750450530355</v>
      </c>
      <c r="X99" s="59">
        <v>51805</v>
      </c>
      <c r="Y99" s="58">
        <v>2041</v>
      </c>
    </row>
    <row r="100" spans="1:30" x14ac:dyDescent="0.2">
      <c r="A100" s="60"/>
      <c r="B100" s="60"/>
      <c r="C100" s="60" t="s">
        <v>130</v>
      </c>
      <c r="D100" s="60" t="s">
        <v>130</v>
      </c>
      <c r="E100" s="60" t="s">
        <v>24</v>
      </c>
      <c r="F100" s="65">
        <v>44501</v>
      </c>
      <c r="G100" s="60">
        <v>2021</v>
      </c>
      <c r="H100" s="60">
        <v>-12</v>
      </c>
      <c r="I100" s="60">
        <v>1</v>
      </c>
      <c r="J100" s="60">
        <f t="shared" si="1"/>
        <v>-12</v>
      </c>
      <c r="K100" s="60">
        <v>1983.3332499999999</v>
      </c>
      <c r="L100" s="60">
        <v>-23.799999</v>
      </c>
      <c r="M100" s="60">
        <v>0.20608324115195686</v>
      </c>
      <c r="N100" s="60">
        <v>-4.9047809333333321</v>
      </c>
      <c r="O100" s="60" t="s">
        <v>120</v>
      </c>
      <c r="P100" s="60">
        <v>0</v>
      </c>
      <c r="Q100" s="60" t="s">
        <v>120</v>
      </c>
      <c r="R100" s="60" t="s">
        <v>120</v>
      </c>
      <c r="S100" s="60">
        <v>2021</v>
      </c>
      <c r="T100" s="60" t="s">
        <v>120</v>
      </c>
      <c r="U100" s="60" t="s">
        <v>120</v>
      </c>
      <c r="V100" s="60" t="s">
        <v>120</v>
      </c>
      <c r="W100" s="60" t="s">
        <v>120</v>
      </c>
      <c r="X100" s="65">
        <v>44501</v>
      </c>
      <c r="Y100" s="60">
        <v>2021</v>
      </c>
      <c r="Z100" s="60"/>
      <c r="AA100" s="60"/>
      <c r="AB100" s="60"/>
      <c r="AC100" s="60"/>
      <c r="AD100" s="60"/>
    </row>
    <row r="101" spans="1:30" x14ac:dyDescent="0.2">
      <c r="A101" s="60"/>
      <c r="B101" s="60"/>
      <c r="C101" s="60" t="s">
        <v>131</v>
      </c>
      <c r="D101" s="60" t="s">
        <v>131</v>
      </c>
      <c r="E101" s="60" t="s">
        <v>24</v>
      </c>
      <c r="F101" s="65">
        <v>44501</v>
      </c>
      <c r="G101" s="60">
        <v>2021</v>
      </c>
      <c r="H101" s="60">
        <v>-12</v>
      </c>
      <c r="I101" s="60">
        <v>1</v>
      </c>
      <c r="J101" s="60">
        <f t="shared" si="1"/>
        <v>-12</v>
      </c>
      <c r="K101" s="60">
        <v>1958.333333333333</v>
      </c>
      <c r="L101" s="60">
        <v>-23.499999999999996</v>
      </c>
      <c r="M101" s="60">
        <v>0.20641655177304954</v>
      </c>
      <c r="N101" s="60">
        <v>-4.8507889666666637</v>
      </c>
      <c r="O101" s="60" t="s">
        <v>120</v>
      </c>
      <c r="P101" s="60">
        <v>0</v>
      </c>
      <c r="Q101" s="60" t="s">
        <v>120</v>
      </c>
      <c r="R101" s="60" t="s">
        <v>120</v>
      </c>
      <c r="S101" s="60">
        <v>2021</v>
      </c>
      <c r="T101" s="60" t="s">
        <v>120</v>
      </c>
      <c r="U101" s="60" t="s">
        <v>120</v>
      </c>
      <c r="V101" s="60" t="s">
        <v>120</v>
      </c>
      <c r="W101" s="60" t="s">
        <v>120</v>
      </c>
      <c r="X101" s="65">
        <v>44501</v>
      </c>
      <c r="Y101" s="60">
        <v>2021</v>
      </c>
      <c r="Z101" s="60"/>
      <c r="AA101" s="60"/>
      <c r="AB101" s="60"/>
      <c r="AC101" s="60"/>
      <c r="AD101" s="60"/>
    </row>
    <row r="102" spans="1:30" x14ac:dyDescent="0.2">
      <c r="A102" s="58" t="s">
        <v>296</v>
      </c>
      <c r="B102" s="58" t="s">
        <v>379</v>
      </c>
      <c r="C102" s="58" t="s">
        <v>132</v>
      </c>
      <c r="D102" s="58" t="s">
        <v>132</v>
      </c>
      <c r="E102" s="58" t="s">
        <v>24</v>
      </c>
      <c r="F102" s="59">
        <v>44531</v>
      </c>
      <c r="G102" s="58">
        <v>2021</v>
      </c>
      <c r="H102" s="58">
        <v>8.8000000000000007</v>
      </c>
      <c r="I102" s="58">
        <v>1</v>
      </c>
      <c r="J102" s="58">
        <f t="shared" si="1"/>
        <v>8.8000000000000007</v>
      </c>
      <c r="K102" s="58">
        <v>2544.3181818181815</v>
      </c>
      <c r="L102" s="58">
        <v>22.39</v>
      </c>
      <c r="M102" s="58">
        <v>0.10366281915761544</v>
      </c>
      <c r="N102" s="58">
        <v>2.3210105209390095</v>
      </c>
      <c r="O102" s="58" t="s">
        <v>117</v>
      </c>
      <c r="P102" s="58">
        <v>74.8</v>
      </c>
      <c r="Q102" s="58">
        <v>1.6747719999999999</v>
      </c>
      <c r="R102" s="58">
        <v>0.17361158696623791</v>
      </c>
      <c r="S102" s="58">
        <v>2041</v>
      </c>
      <c r="T102" s="58">
        <v>74.8</v>
      </c>
      <c r="U102" s="58">
        <v>1.6747719999999999</v>
      </c>
      <c r="V102" s="58">
        <v>1.6747719999999999</v>
      </c>
      <c r="W102" s="58">
        <v>1.5011604130337621</v>
      </c>
      <c r="X102" s="59">
        <v>51835</v>
      </c>
      <c r="Y102" s="58">
        <v>2041</v>
      </c>
    </row>
    <row r="103" spans="1:30" x14ac:dyDescent="0.2">
      <c r="A103" s="60"/>
      <c r="B103" s="60"/>
      <c r="C103" s="60" t="s">
        <v>133</v>
      </c>
      <c r="D103" s="60" t="s">
        <v>133</v>
      </c>
      <c r="E103" s="60" t="s">
        <v>24</v>
      </c>
      <c r="F103" s="65">
        <v>44622.25</v>
      </c>
      <c r="G103" s="60">
        <v>2022</v>
      </c>
      <c r="H103" s="60">
        <v>-12</v>
      </c>
      <c r="I103" s="60">
        <v>1</v>
      </c>
      <c r="J103" s="60">
        <f t="shared" si="1"/>
        <v>-12</v>
      </c>
      <c r="K103" s="60">
        <v>1558.3332499999997</v>
      </c>
      <c r="L103" s="60">
        <v>-18.699998999999995</v>
      </c>
      <c r="M103" s="60">
        <v>0.76456417578314539</v>
      </c>
      <c r="N103" s="60">
        <v>-14.297349322580638</v>
      </c>
      <c r="O103" s="60" t="s">
        <v>120</v>
      </c>
      <c r="P103" s="60">
        <v>0</v>
      </c>
      <c r="Q103" s="60" t="s">
        <v>120</v>
      </c>
      <c r="R103" s="60" t="s">
        <v>120</v>
      </c>
      <c r="S103" s="60">
        <v>2022</v>
      </c>
      <c r="T103" s="60" t="s">
        <v>120</v>
      </c>
      <c r="U103" s="60" t="s">
        <v>120</v>
      </c>
      <c r="V103" s="60" t="s">
        <v>120</v>
      </c>
      <c r="W103" s="60" t="s">
        <v>120</v>
      </c>
      <c r="X103" s="65">
        <v>44622.25</v>
      </c>
      <c r="Y103" s="60">
        <v>2022</v>
      </c>
      <c r="Z103" s="60"/>
      <c r="AA103" s="60"/>
      <c r="AB103" s="60"/>
      <c r="AC103" s="60"/>
      <c r="AD103" s="60"/>
    </row>
    <row r="104" spans="1:30" x14ac:dyDescent="0.2">
      <c r="A104" s="58" t="s">
        <v>297</v>
      </c>
      <c r="B104" s="58" t="s">
        <v>380</v>
      </c>
      <c r="C104" s="58" t="s">
        <v>134</v>
      </c>
      <c r="D104" s="58" t="s">
        <v>134</v>
      </c>
      <c r="E104" s="58" t="s">
        <v>24</v>
      </c>
      <c r="F104" s="59">
        <v>44713</v>
      </c>
      <c r="G104" s="58">
        <v>2022</v>
      </c>
      <c r="H104" s="58">
        <v>14.4</v>
      </c>
      <c r="I104" s="58">
        <v>0.8</v>
      </c>
      <c r="J104" s="58">
        <f t="shared" si="1"/>
        <v>11.520000000000001</v>
      </c>
      <c r="K104" s="58">
        <v>2820</v>
      </c>
      <c r="L104" s="58">
        <v>32.486400000000003</v>
      </c>
      <c r="M104" s="58">
        <v>0.53351025070771352</v>
      </c>
      <c r="N104" s="58">
        <v>17.331827408591067</v>
      </c>
      <c r="O104" s="58" t="s">
        <v>117</v>
      </c>
      <c r="P104" s="58">
        <v>74.8</v>
      </c>
      <c r="Q104" s="58">
        <v>2.4299827199999999</v>
      </c>
      <c r="R104" s="58">
        <v>1.2964206901626119</v>
      </c>
      <c r="S104" s="58">
        <v>2042</v>
      </c>
      <c r="T104" s="58">
        <v>74.8</v>
      </c>
      <c r="U104" s="58">
        <v>2.4299827199999999</v>
      </c>
      <c r="V104" s="58">
        <v>2.4299827199999999</v>
      </c>
      <c r="W104" s="58">
        <v>1.1335620298373883</v>
      </c>
      <c r="X104" s="59">
        <v>52017</v>
      </c>
      <c r="Y104" s="58">
        <v>2042</v>
      </c>
    </row>
    <row r="105" spans="1:30" x14ac:dyDescent="0.2">
      <c r="A105" s="58" t="s">
        <v>298</v>
      </c>
      <c r="B105" s="58" t="s">
        <v>381</v>
      </c>
      <c r="C105" s="58" t="s">
        <v>135</v>
      </c>
      <c r="D105" s="58" t="s">
        <v>135</v>
      </c>
      <c r="E105" s="58" t="s">
        <v>24</v>
      </c>
      <c r="F105" s="59">
        <v>44713</v>
      </c>
      <c r="G105" s="58">
        <v>2022</v>
      </c>
      <c r="H105" s="58">
        <v>14.4</v>
      </c>
      <c r="I105" s="58">
        <v>0.8</v>
      </c>
      <c r="J105" s="58">
        <f t="shared" si="1"/>
        <v>11.520000000000001</v>
      </c>
      <c r="K105" s="58">
        <v>2905</v>
      </c>
      <c r="L105" s="58">
        <v>33.465600000000009</v>
      </c>
      <c r="M105" s="58">
        <v>0.53360760567375887</v>
      </c>
      <c r="N105" s="58">
        <v>17.857498688435751</v>
      </c>
      <c r="O105" s="58" t="s">
        <v>117</v>
      </c>
      <c r="P105" s="58">
        <v>74.8</v>
      </c>
      <c r="Q105" s="58">
        <v>2.5032268800000006</v>
      </c>
      <c r="R105" s="58">
        <v>1.3357409018949942</v>
      </c>
      <c r="S105" s="58">
        <v>2042</v>
      </c>
      <c r="T105" s="58">
        <v>74.8</v>
      </c>
      <c r="U105" s="58">
        <v>2.5032268800000006</v>
      </c>
      <c r="V105" s="58">
        <v>2.5032268800000006</v>
      </c>
      <c r="W105" s="58">
        <v>1.1674859781050066</v>
      </c>
      <c r="X105" s="59">
        <v>52017</v>
      </c>
      <c r="Y105" s="58">
        <v>2042</v>
      </c>
    </row>
    <row r="106" spans="1:30" x14ac:dyDescent="0.2">
      <c r="A106" s="58" t="s">
        <v>299</v>
      </c>
      <c r="B106" s="58" t="s">
        <v>382</v>
      </c>
      <c r="C106" s="58" t="s">
        <v>136</v>
      </c>
      <c r="D106" s="58" t="s">
        <v>136</v>
      </c>
      <c r="E106" s="58" t="s">
        <v>24</v>
      </c>
      <c r="F106" s="59">
        <v>44805</v>
      </c>
      <c r="G106" s="58">
        <v>2022</v>
      </c>
      <c r="H106" s="58">
        <v>25.2</v>
      </c>
      <c r="I106" s="58">
        <v>0.8</v>
      </c>
      <c r="J106" s="58">
        <f t="shared" si="1"/>
        <v>20.16</v>
      </c>
      <c r="K106" s="58">
        <v>2055.5238095238096</v>
      </c>
      <c r="L106" s="58">
        <v>41.439360000000001</v>
      </c>
      <c r="M106" s="58">
        <v>0.36451587234042548</v>
      </c>
      <c r="N106" s="58">
        <v>15.105304459628934</v>
      </c>
      <c r="O106" s="58" t="s">
        <v>122</v>
      </c>
      <c r="P106" s="58">
        <v>63.8</v>
      </c>
      <c r="Q106" s="58">
        <v>2.6438311679999997</v>
      </c>
      <c r="R106" s="58">
        <v>0.96371842452432599</v>
      </c>
      <c r="S106" s="58">
        <v>2042</v>
      </c>
      <c r="T106" s="58">
        <v>63.8</v>
      </c>
      <c r="U106" s="58">
        <v>2.6438311679999997</v>
      </c>
      <c r="V106" s="58">
        <v>2.6438311679999997</v>
      </c>
      <c r="W106" s="58">
        <v>1.680112743475674</v>
      </c>
      <c r="X106" s="59">
        <v>52109</v>
      </c>
      <c r="Y106" s="58">
        <v>2042</v>
      </c>
    </row>
    <row r="107" spans="1:30" x14ac:dyDescent="0.2">
      <c r="A107" s="60"/>
      <c r="B107" s="60"/>
      <c r="C107" s="60" t="s">
        <v>137</v>
      </c>
      <c r="D107" s="60" t="s">
        <v>137</v>
      </c>
      <c r="E107" s="60" t="s">
        <v>24</v>
      </c>
      <c r="F107" s="65">
        <v>44803.666666666664</v>
      </c>
      <c r="G107" s="60">
        <v>2022</v>
      </c>
      <c r="H107" s="60">
        <v>-12</v>
      </c>
      <c r="I107" s="60">
        <v>1</v>
      </c>
      <c r="J107" s="60">
        <f t="shared" si="1"/>
        <v>-12</v>
      </c>
      <c r="K107" s="60">
        <v>1800.0000833333334</v>
      </c>
      <c r="L107" s="60">
        <v>-21.600000999999999</v>
      </c>
      <c r="M107" s="60">
        <v>0.36698883605637111</v>
      </c>
      <c r="N107" s="60">
        <v>-7.9269592258064518</v>
      </c>
      <c r="O107" s="60" t="s">
        <v>120</v>
      </c>
      <c r="P107" s="60">
        <v>0</v>
      </c>
      <c r="Q107" s="60" t="s">
        <v>120</v>
      </c>
      <c r="R107" s="60" t="s">
        <v>120</v>
      </c>
      <c r="S107" s="60">
        <v>2022</v>
      </c>
      <c r="T107" s="60" t="s">
        <v>120</v>
      </c>
      <c r="U107" s="60" t="s">
        <v>120</v>
      </c>
      <c r="V107" s="60" t="s">
        <v>120</v>
      </c>
      <c r="W107" s="60" t="s">
        <v>120</v>
      </c>
      <c r="X107" s="65">
        <v>44803.666666666664</v>
      </c>
      <c r="Y107" s="60">
        <v>2022</v>
      </c>
      <c r="Z107" s="60"/>
      <c r="AA107" s="60"/>
      <c r="AB107" s="60"/>
      <c r="AC107" s="60"/>
      <c r="AD107" s="60"/>
    </row>
    <row r="108" spans="1:30" x14ac:dyDescent="0.2">
      <c r="A108" s="58" t="s">
        <v>300</v>
      </c>
      <c r="B108" s="58" t="s">
        <v>383</v>
      </c>
      <c r="C108" s="58" t="s">
        <v>138</v>
      </c>
      <c r="D108" s="58" t="s">
        <v>138</v>
      </c>
      <c r="E108" s="58" t="s">
        <v>24</v>
      </c>
      <c r="F108" s="59">
        <v>44896</v>
      </c>
      <c r="G108" s="58">
        <v>2022</v>
      </c>
      <c r="H108" s="58">
        <v>18</v>
      </c>
      <c r="I108" s="58">
        <v>0.8</v>
      </c>
      <c r="J108" s="58">
        <f t="shared" si="1"/>
        <v>14.4</v>
      </c>
      <c r="K108" s="58">
        <v>2571</v>
      </c>
      <c r="L108" s="58">
        <v>37.022400000000005</v>
      </c>
      <c r="M108" s="58">
        <v>0.1125725090387229</v>
      </c>
      <c r="N108" s="58">
        <v>4.1677044586352157</v>
      </c>
      <c r="O108" s="58" t="s">
        <v>117</v>
      </c>
      <c r="P108" s="58">
        <v>74.8</v>
      </c>
      <c r="Q108" s="58">
        <v>2.7692755200000003</v>
      </c>
      <c r="R108" s="58">
        <v>0.31174429350591415</v>
      </c>
      <c r="S108" s="58">
        <v>2042</v>
      </c>
      <c r="T108" s="58">
        <v>74.8</v>
      </c>
      <c r="U108" s="58">
        <v>2.7692755200000003</v>
      </c>
      <c r="V108" s="58">
        <v>2.7692755200000008</v>
      </c>
      <c r="W108" s="58">
        <v>2.4575312264940861</v>
      </c>
      <c r="X108" s="59">
        <v>52200</v>
      </c>
      <c r="Y108" s="58">
        <v>2042</v>
      </c>
    </row>
    <row r="109" spans="1:30" x14ac:dyDescent="0.2">
      <c r="A109" s="58" t="s">
        <v>301</v>
      </c>
      <c r="B109" s="58" t="s">
        <v>139</v>
      </c>
      <c r="C109" s="58" t="s">
        <v>139</v>
      </c>
      <c r="D109" s="58" t="s">
        <v>139</v>
      </c>
      <c r="E109" s="58" t="s">
        <v>24</v>
      </c>
      <c r="F109" s="59">
        <v>45078</v>
      </c>
      <c r="G109" s="58">
        <v>2023</v>
      </c>
      <c r="H109" s="58">
        <v>10</v>
      </c>
      <c r="I109" s="58">
        <v>0.7</v>
      </c>
      <c r="J109" s="58">
        <f t="shared" si="1"/>
        <v>7</v>
      </c>
      <c r="K109" s="58">
        <v>2030</v>
      </c>
      <c r="L109" s="58">
        <v>14.21</v>
      </c>
      <c r="M109" s="58">
        <v>0.53194957908966622</v>
      </c>
      <c r="N109" s="58">
        <v>7.5590035188641576</v>
      </c>
      <c r="O109" s="58" t="s">
        <v>117</v>
      </c>
      <c r="P109" s="58">
        <v>74.8</v>
      </c>
      <c r="Q109" s="58">
        <v>1.0629080000000002</v>
      </c>
      <c r="R109" s="58">
        <v>0.56541346321103902</v>
      </c>
      <c r="S109" s="58">
        <v>2043</v>
      </c>
      <c r="T109" s="58">
        <v>74.8</v>
      </c>
      <c r="U109" s="58">
        <v>1.0629080000000002</v>
      </c>
      <c r="V109" s="58">
        <v>1.0629080000000002</v>
      </c>
      <c r="W109" s="58">
        <v>0.49749453678896105</v>
      </c>
      <c r="X109" s="59">
        <v>52382</v>
      </c>
      <c r="Y109" s="58">
        <v>2043</v>
      </c>
    </row>
    <row r="110" spans="1:30" x14ac:dyDescent="0.2">
      <c r="A110" s="58" t="s">
        <v>302</v>
      </c>
      <c r="B110" s="58" t="s">
        <v>140</v>
      </c>
      <c r="C110" s="58" t="s">
        <v>140</v>
      </c>
      <c r="D110" s="58" t="s">
        <v>140</v>
      </c>
      <c r="E110" s="58" t="s">
        <v>24</v>
      </c>
      <c r="F110" s="59">
        <v>45078</v>
      </c>
      <c r="G110" s="58">
        <v>2023</v>
      </c>
      <c r="H110" s="58">
        <v>12</v>
      </c>
      <c r="I110" s="58">
        <v>0.7</v>
      </c>
      <c r="J110" s="58">
        <f t="shared" si="1"/>
        <v>8.3999999999999986</v>
      </c>
      <c r="K110" s="58">
        <v>2200</v>
      </c>
      <c r="L110" s="58">
        <v>18.479999999999997</v>
      </c>
      <c r="M110" s="58">
        <v>0.53194957908966622</v>
      </c>
      <c r="N110" s="58">
        <v>9.83042822157703</v>
      </c>
      <c r="O110" s="58" t="s">
        <v>117</v>
      </c>
      <c r="P110" s="58">
        <v>74.8</v>
      </c>
      <c r="Q110" s="58">
        <v>1.3823039999999995</v>
      </c>
      <c r="R110" s="58">
        <v>0.73531603097396181</v>
      </c>
      <c r="S110" s="58">
        <v>2043</v>
      </c>
      <c r="T110" s="58">
        <v>74.8</v>
      </c>
      <c r="U110" s="58">
        <v>1.3823039999999995</v>
      </c>
      <c r="V110" s="58">
        <v>1.3823039999999995</v>
      </c>
      <c r="W110" s="58">
        <v>0.64698796902603795</v>
      </c>
      <c r="X110" s="59">
        <v>52382</v>
      </c>
      <c r="Y110" s="58">
        <v>2043</v>
      </c>
    </row>
    <row r="111" spans="1:30" x14ac:dyDescent="0.2">
      <c r="A111" s="58" t="s">
        <v>303</v>
      </c>
      <c r="B111" s="58" t="s">
        <v>384</v>
      </c>
      <c r="C111" s="58" t="s">
        <v>141</v>
      </c>
      <c r="D111" s="58" t="s">
        <v>141</v>
      </c>
      <c r="E111" s="58" t="s">
        <v>24</v>
      </c>
      <c r="F111" s="59">
        <v>45078</v>
      </c>
      <c r="G111" s="58">
        <v>2023</v>
      </c>
      <c r="H111" s="58">
        <v>15</v>
      </c>
      <c r="I111" s="58">
        <v>0.7</v>
      </c>
      <c r="J111" s="58">
        <f t="shared" si="1"/>
        <v>10.5</v>
      </c>
      <c r="K111" s="58">
        <v>2225</v>
      </c>
      <c r="L111" s="58">
        <v>23.362500000000001</v>
      </c>
      <c r="M111" s="58">
        <v>0.55889333333333335</v>
      </c>
      <c r="N111" s="58">
        <v>13.057145500000001</v>
      </c>
      <c r="O111" s="58" t="s">
        <v>117</v>
      </c>
      <c r="P111" s="58">
        <v>74.8</v>
      </c>
      <c r="Q111" s="58">
        <v>1.7475150000000002</v>
      </c>
      <c r="R111" s="58">
        <v>0.97667448339999996</v>
      </c>
      <c r="S111" s="58">
        <v>2043</v>
      </c>
      <c r="T111" s="58">
        <v>74.8</v>
      </c>
      <c r="U111" s="58">
        <v>1.7475150000000002</v>
      </c>
      <c r="V111" s="58">
        <v>1.7475150000000002</v>
      </c>
      <c r="W111" s="58">
        <v>0.77084051659999997</v>
      </c>
      <c r="X111" s="59">
        <v>52382</v>
      </c>
      <c r="Y111" s="58">
        <v>2043</v>
      </c>
    </row>
    <row r="112" spans="1:30" x14ac:dyDescent="0.2">
      <c r="A112" s="58" t="s">
        <v>396</v>
      </c>
      <c r="B112" s="58" t="s">
        <v>397</v>
      </c>
      <c r="C112" s="62" t="s">
        <v>142</v>
      </c>
      <c r="D112" s="62" t="s">
        <v>142</v>
      </c>
      <c r="E112" s="62" t="s">
        <v>24</v>
      </c>
      <c r="F112" s="66">
        <v>45047</v>
      </c>
      <c r="G112" s="62">
        <v>2023</v>
      </c>
      <c r="H112" s="62">
        <v>25.2</v>
      </c>
      <c r="I112" s="62">
        <v>0.7</v>
      </c>
      <c r="J112" s="62">
        <f t="shared" si="1"/>
        <v>17.639999999999997</v>
      </c>
      <c r="K112" s="62">
        <v>2527.25</v>
      </c>
      <c r="L112" s="62">
        <v>44.580689999999997</v>
      </c>
      <c r="M112" s="62">
        <v>0.60944099627737325</v>
      </c>
      <c r="N112" s="62">
        <v>27.169300128332729</v>
      </c>
      <c r="O112" s="62" t="s">
        <v>122</v>
      </c>
      <c r="P112" s="62">
        <v>63</v>
      </c>
      <c r="Q112" s="62">
        <v>2.8085834699999999</v>
      </c>
      <c r="R112" s="62">
        <v>1.7116659080849619</v>
      </c>
      <c r="S112" s="62">
        <v>2043</v>
      </c>
      <c r="T112" s="62">
        <v>63</v>
      </c>
      <c r="U112" s="62">
        <v>2.8085834699999999</v>
      </c>
      <c r="V112" s="62">
        <v>2.8085834699999999</v>
      </c>
      <c r="W112" s="62">
        <v>1.0969175619150378</v>
      </c>
      <c r="X112" s="66">
        <v>52351</v>
      </c>
      <c r="Y112" s="62">
        <v>2043</v>
      </c>
      <c r="Z112" s="62"/>
      <c r="AA112" s="62"/>
      <c r="AB112" s="62"/>
      <c r="AC112" s="62"/>
      <c r="AD112" s="62"/>
    </row>
    <row r="113" spans="1:30" x14ac:dyDescent="0.2">
      <c r="A113" s="58" t="s">
        <v>304</v>
      </c>
      <c r="B113" s="58" t="s">
        <v>385</v>
      </c>
      <c r="C113" s="58" t="s">
        <v>143</v>
      </c>
      <c r="D113" s="58" t="s">
        <v>143</v>
      </c>
      <c r="E113" s="58" t="s">
        <v>24</v>
      </c>
      <c r="F113" s="59">
        <v>45139</v>
      </c>
      <c r="G113" s="58">
        <v>2023</v>
      </c>
      <c r="H113" s="58">
        <v>21</v>
      </c>
      <c r="I113" s="58">
        <v>0.7</v>
      </c>
      <c r="J113" s="58">
        <f t="shared" si="1"/>
        <v>14.7</v>
      </c>
      <c r="K113" s="58">
        <v>3042</v>
      </c>
      <c r="L113" s="58">
        <v>44.717400000000005</v>
      </c>
      <c r="M113" s="58">
        <v>0.42733952005325476</v>
      </c>
      <c r="N113" s="58">
        <v>19.109512254029415</v>
      </c>
      <c r="O113" s="58" t="s">
        <v>122</v>
      </c>
      <c r="P113" s="58">
        <v>60</v>
      </c>
      <c r="Q113" s="58">
        <v>2.6830440000000002</v>
      </c>
      <c r="R113" s="58">
        <v>1.1465707352417649</v>
      </c>
      <c r="S113" s="58">
        <v>2043</v>
      </c>
      <c r="T113" s="58">
        <v>60</v>
      </c>
      <c r="U113" s="58">
        <v>2.6830440000000002</v>
      </c>
      <c r="V113" s="58">
        <v>2.6830440000000002</v>
      </c>
      <c r="W113" s="58">
        <v>1.5364732647582355</v>
      </c>
      <c r="X113" s="59">
        <v>52443</v>
      </c>
      <c r="Y113" s="58">
        <v>2043</v>
      </c>
    </row>
    <row r="114" spans="1:30" x14ac:dyDescent="0.2">
      <c r="A114" s="58" t="s">
        <v>305</v>
      </c>
      <c r="B114" s="58" t="s">
        <v>144</v>
      </c>
      <c r="C114" s="58" t="s">
        <v>144</v>
      </c>
      <c r="D114" s="58" t="s">
        <v>144</v>
      </c>
      <c r="E114" s="58" t="s">
        <v>24</v>
      </c>
      <c r="F114" s="59">
        <v>45261</v>
      </c>
      <c r="G114" s="58">
        <v>2023</v>
      </c>
      <c r="H114" s="58">
        <v>10</v>
      </c>
      <c r="I114" s="58">
        <v>0.7</v>
      </c>
      <c r="J114" s="58">
        <f t="shared" si="1"/>
        <v>7</v>
      </c>
      <c r="K114" s="58">
        <v>2736</v>
      </c>
      <c r="L114" s="58">
        <v>19.152000000000001</v>
      </c>
      <c r="M114" s="58">
        <v>9.0961290322580449E-2</v>
      </c>
      <c r="N114" s="58">
        <v>1.7420906322580609</v>
      </c>
      <c r="O114" s="58" t="s">
        <v>122</v>
      </c>
      <c r="P114" s="58">
        <v>60</v>
      </c>
      <c r="Q114" s="58">
        <v>1.1491200000000001</v>
      </c>
      <c r="R114" s="58">
        <v>0.10452543793548365</v>
      </c>
      <c r="S114" s="58">
        <v>2043</v>
      </c>
      <c r="T114" s="58">
        <v>60</v>
      </c>
      <c r="U114" s="58">
        <v>1.1491200000000001</v>
      </c>
      <c r="V114" s="58">
        <v>1.1491200000000001</v>
      </c>
      <c r="W114" s="58">
        <v>1.0445945620645163</v>
      </c>
      <c r="X114" s="59">
        <v>52565</v>
      </c>
      <c r="Y114" s="58">
        <v>2043</v>
      </c>
    </row>
    <row r="115" spans="1:30" x14ac:dyDescent="0.2">
      <c r="A115" s="58" t="s">
        <v>306</v>
      </c>
      <c r="B115" s="58" t="s">
        <v>386</v>
      </c>
      <c r="C115" s="58" t="s">
        <v>145</v>
      </c>
      <c r="D115" s="58" t="s">
        <v>145</v>
      </c>
      <c r="E115" s="58" t="s">
        <v>73</v>
      </c>
      <c r="F115" s="59">
        <v>45261</v>
      </c>
      <c r="G115" s="58">
        <v>2023</v>
      </c>
      <c r="H115" s="58">
        <v>10</v>
      </c>
      <c r="I115" s="58">
        <v>0.7</v>
      </c>
      <c r="J115" s="58">
        <f t="shared" si="1"/>
        <v>7</v>
      </c>
      <c r="K115" s="58">
        <v>1500</v>
      </c>
      <c r="L115" s="58">
        <v>10.5</v>
      </c>
      <c r="M115" s="58">
        <v>3.0188508176393479E-2</v>
      </c>
      <c r="N115" s="58">
        <v>0.31697933585213151</v>
      </c>
      <c r="O115" s="58" t="s">
        <v>122</v>
      </c>
      <c r="P115" s="58">
        <v>53</v>
      </c>
      <c r="Q115" s="58">
        <v>0.55649999999999999</v>
      </c>
      <c r="R115" s="58">
        <v>1.6799904800162972E-2</v>
      </c>
      <c r="S115" s="58">
        <v>2043</v>
      </c>
      <c r="T115" s="58">
        <v>53</v>
      </c>
      <c r="U115" s="58">
        <v>0.55649999999999999</v>
      </c>
      <c r="V115" s="58">
        <v>0.55649999999999999</v>
      </c>
      <c r="W115" s="58">
        <v>0.53970009519983708</v>
      </c>
      <c r="X115" s="59">
        <v>52565</v>
      </c>
      <c r="Y115" s="58">
        <v>2043</v>
      </c>
    </row>
    <row r="116" spans="1:30" x14ac:dyDescent="0.2">
      <c r="A116" s="58" t="s">
        <v>307</v>
      </c>
      <c r="B116" s="58" t="s">
        <v>387</v>
      </c>
      <c r="C116" s="58" t="s">
        <v>146</v>
      </c>
      <c r="D116" s="58" t="s">
        <v>146</v>
      </c>
      <c r="E116" s="58" t="s">
        <v>24</v>
      </c>
      <c r="F116" s="59">
        <v>45323</v>
      </c>
      <c r="G116" s="58">
        <v>2024</v>
      </c>
      <c r="H116" s="58">
        <v>14.4</v>
      </c>
      <c r="I116" s="58">
        <v>0.5</v>
      </c>
      <c r="J116" s="58">
        <f t="shared" si="1"/>
        <v>7.2</v>
      </c>
      <c r="K116" s="58">
        <v>2772.9861111111109</v>
      </c>
      <c r="L116" s="58">
        <v>19.965499999999999</v>
      </c>
      <c r="M116" s="58">
        <v>0.88142421505609048</v>
      </c>
      <c r="N116" s="58">
        <v>17.598075165702372</v>
      </c>
      <c r="O116" s="58" t="s">
        <v>122</v>
      </c>
      <c r="P116" s="58">
        <v>56.8</v>
      </c>
      <c r="Q116" s="58">
        <v>1.1340403999999999</v>
      </c>
      <c r="R116" s="58">
        <v>0.99957066941189476</v>
      </c>
      <c r="S116" s="58">
        <v>2044</v>
      </c>
      <c r="T116" s="58">
        <v>56.8</v>
      </c>
      <c r="U116" s="58">
        <v>1.1340403999999999</v>
      </c>
      <c r="V116" s="58">
        <v>1.1340403999999999</v>
      </c>
      <c r="W116" s="58">
        <v>0.13446973058810516</v>
      </c>
      <c r="X116" s="59">
        <v>52627</v>
      </c>
      <c r="Y116" s="58">
        <v>2044</v>
      </c>
    </row>
    <row r="117" spans="1:30" x14ac:dyDescent="0.2">
      <c r="A117" s="58" t="s">
        <v>308</v>
      </c>
      <c r="B117" s="58" t="s">
        <v>147</v>
      </c>
      <c r="C117" s="58" t="s">
        <v>147</v>
      </c>
      <c r="D117" s="58" t="s">
        <v>147</v>
      </c>
      <c r="E117" s="58" t="s">
        <v>73</v>
      </c>
      <c r="F117" s="59">
        <v>45383</v>
      </c>
      <c r="G117" s="58">
        <v>2024</v>
      </c>
      <c r="H117" s="58">
        <v>13</v>
      </c>
      <c r="I117" s="58">
        <v>0.5</v>
      </c>
      <c r="J117" s="58">
        <f t="shared" si="1"/>
        <v>6.5</v>
      </c>
      <c r="K117" s="58">
        <v>1846.6923076923076</v>
      </c>
      <c r="L117" s="58">
        <v>12.003500000000001</v>
      </c>
      <c r="M117" s="58">
        <v>0.77053939603440125</v>
      </c>
      <c r="N117" s="58">
        <v>9.2491696402989358</v>
      </c>
      <c r="O117" s="58" t="s">
        <v>122</v>
      </c>
      <c r="P117" s="58">
        <v>52.9</v>
      </c>
      <c r="Q117" s="58">
        <v>0.63498515</v>
      </c>
      <c r="R117" s="58">
        <v>0.4892810739718137</v>
      </c>
      <c r="S117" s="58">
        <v>2044</v>
      </c>
      <c r="T117" s="58">
        <v>52.9</v>
      </c>
      <c r="U117" s="58">
        <v>0.63498515</v>
      </c>
      <c r="V117" s="58">
        <v>0.63498515</v>
      </c>
      <c r="W117" s="58">
        <v>0.14570407602818633</v>
      </c>
      <c r="X117" s="59">
        <v>52687</v>
      </c>
      <c r="Y117" s="58">
        <v>2044</v>
      </c>
    </row>
    <row r="118" spans="1:30" x14ac:dyDescent="0.2">
      <c r="A118" s="58" t="s">
        <v>309</v>
      </c>
      <c r="B118" s="58" t="s">
        <v>388</v>
      </c>
      <c r="C118" s="58" t="s">
        <v>148</v>
      </c>
      <c r="D118" s="58" t="s">
        <v>148</v>
      </c>
      <c r="E118" s="58" t="s">
        <v>24</v>
      </c>
      <c r="F118" s="59">
        <v>45383</v>
      </c>
      <c r="G118" s="58">
        <v>2024</v>
      </c>
      <c r="H118" s="58">
        <v>19.799999999999997</v>
      </c>
      <c r="I118" s="58">
        <v>0.5</v>
      </c>
      <c r="J118" s="58">
        <f t="shared" si="1"/>
        <v>9.8999999999999986</v>
      </c>
      <c r="K118" s="58">
        <v>3080.7453416149069</v>
      </c>
      <c r="L118" s="58">
        <v>30.499378881987575</v>
      </c>
      <c r="M118" s="58">
        <v>0.69006610304659499</v>
      </c>
      <c r="N118" s="58">
        <v>21.046587530434781</v>
      </c>
      <c r="O118" s="58" t="s">
        <v>122</v>
      </c>
      <c r="P118" s="58">
        <v>66.900000000000006</v>
      </c>
      <c r="Q118" s="58">
        <v>2.0404084472049688</v>
      </c>
      <c r="R118" s="58">
        <v>1.4080167057860871</v>
      </c>
      <c r="S118" s="58">
        <v>2044</v>
      </c>
      <c r="T118" s="58">
        <v>66.900000000000006</v>
      </c>
      <c r="U118" s="58">
        <v>2.0404084472049688</v>
      </c>
      <c r="V118" s="58">
        <v>2.0404084472049688</v>
      </c>
      <c r="W118" s="58">
        <v>0.63239174141888188</v>
      </c>
      <c r="X118" s="59">
        <v>52687</v>
      </c>
      <c r="Y118" s="58">
        <v>2044</v>
      </c>
    </row>
    <row r="119" spans="1:30" x14ac:dyDescent="0.2">
      <c r="A119" s="60"/>
      <c r="B119" s="60"/>
      <c r="C119" s="60" t="s">
        <v>149</v>
      </c>
      <c r="D119" s="60" t="s">
        <v>149</v>
      </c>
      <c r="E119" s="60" t="s">
        <v>24</v>
      </c>
      <c r="F119" s="65">
        <v>45413.666666666664</v>
      </c>
      <c r="G119" s="60">
        <v>2024</v>
      </c>
      <c r="H119" s="60">
        <v>-11.5</v>
      </c>
      <c r="I119" s="60">
        <v>1</v>
      </c>
      <c r="J119" s="60">
        <f t="shared" si="1"/>
        <v>-11.5</v>
      </c>
      <c r="K119" s="60">
        <v>1765.2173043478265</v>
      </c>
      <c r="L119" s="60">
        <v>-20.299999000000003</v>
      </c>
      <c r="M119" s="60">
        <v>0.607649766148328</v>
      </c>
      <c r="N119" s="60">
        <v>-12.335289645161295</v>
      </c>
      <c r="O119" s="60" t="s">
        <v>120</v>
      </c>
      <c r="P119" s="60">
        <v>0</v>
      </c>
      <c r="Q119" s="60" t="s">
        <v>120</v>
      </c>
      <c r="R119" s="60" t="s">
        <v>120</v>
      </c>
      <c r="S119" s="60">
        <v>2024</v>
      </c>
      <c r="T119" s="60" t="s">
        <v>120</v>
      </c>
      <c r="U119" s="60" t="s">
        <v>120</v>
      </c>
      <c r="V119" s="60" t="s">
        <v>120</v>
      </c>
      <c r="W119" s="60" t="s">
        <v>120</v>
      </c>
      <c r="X119" s="65">
        <v>45413.666666666664</v>
      </c>
      <c r="Y119" s="60">
        <v>2024</v>
      </c>
      <c r="Z119" s="60"/>
      <c r="AA119" s="60"/>
      <c r="AB119" s="60"/>
      <c r="AC119" s="60"/>
      <c r="AD119" s="60"/>
    </row>
    <row r="120" spans="1:30" x14ac:dyDescent="0.2">
      <c r="A120" s="60"/>
      <c r="B120" s="60"/>
      <c r="C120" s="60" t="s">
        <v>150</v>
      </c>
      <c r="D120" s="60" t="s">
        <v>150</v>
      </c>
      <c r="E120" s="60" t="s">
        <v>24</v>
      </c>
      <c r="F120" s="65">
        <v>45474</v>
      </c>
      <c r="G120" s="60">
        <v>2024</v>
      </c>
      <c r="H120" s="60">
        <v>152.6</v>
      </c>
      <c r="I120" s="60">
        <v>0.5</v>
      </c>
      <c r="J120" s="60">
        <f>H120*I120</f>
        <v>76.3</v>
      </c>
      <c r="K120" s="60">
        <v>2200</v>
      </c>
      <c r="L120" s="60">
        <v>167.86</v>
      </c>
      <c r="M120" s="60">
        <v>0.48678709677419352</v>
      </c>
      <c r="N120" s="60">
        <v>81.712082064516125</v>
      </c>
      <c r="O120" s="60" t="s">
        <v>122</v>
      </c>
      <c r="P120" s="60">
        <v>58</v>
      </c>
      <c r="Q120" s="60">
        <v>9.7358800000000016</v>
      </c>
      <c r="R120" s="60">
        <v>4.7393007597419352</v>
      </c>
      <c r="S120" s="60">
        <v>2044</v>
      </c>
      <c r="T120" s="60">
        <v>58</v>
      </c>
      <c r="U120" s="60">
        <v>9.7358800000000016</v>
      </c>
      <c r="V120" s="60">
        <v>9.7358800000000016</v>
      </c>
      <c r="W120" s="60">
        <v>4.9965792402580655</v>
      </c>
      <c r="X120" s="65">
        <v>52778</v>
      </c>
      <c r="Y120" s="60">
        <v>2044</v>
      </c>
      <c r="Z120" s="60"/>
      <c r="AA120" s="60"/>
      <c r="AB120" s="60"/>
      <c r="AC120" s="60"/>
      <c r="AD120" s="60"/>
    </row>
    <row r="121" spans="1:30" x14ac:dyDescent="0.2">
      <c r="A121" s="60"/>
      <c r="B121" s="60"/>
      <c r="C121" s="60" t="s">
        <v>151</v>
      </c>
      <c r="D121" s="60" t="s">
        <v>151</v>
      </c>
      <c r="E121" s="60" t="s">
        <v>73</v>
      </c>
      <c r="F121" s="65">
        <v>45474</v>
      </c>
      <c r="G121" s="60">
        <v>2024</v>
      </c>
      <c r="H121" s="60">
        <v>134</v>
      </c>
      <c r="I121" s="60">
        <v>0.5</v>
      </c>
      <c r="J121" s="60">
        <f t="shared" si="1"/>
        <v>67</v>
      </c>
      <c r="K121" s="60">
        <v>1200</v>
      </c>
      <c r="L121" s="60">
        <v>80.400000000000006</v>
      </c>
      <c r="M121" s="60">
        <v>0.47798695953588544</v>
      </c>
      <c r="N121" s="60">
        <v>38.430151546685195</v>
      </c>
      <c r="O121" s="60" t="s">
        <v>122</v>
      </c>
      <c r="P121" s="60">
        <v>53</v>
      </c>
      <c r="Q121" s="60">
        <v>4.2612000000000005</v>
      </c>
      <c r="R121" s="60">
        <v>2.0367980319743153</v>
      </c>
      <c r="S121" s="60">
        <v>2044</v>
      </c>
      <c r="T121" s="60">
        <v>53</v>
      </c>
      <c r="U121" s="60">
        <v>4.2612000000000005</v>
      </c>
      <c r="V121" s="60">
        <v>4.2612000000000005</v>
      </c>
      <c r="W121" s="60">
        <v>2.2244019680256852</v>
      </c>
      <c r="X121" s="65">
        <v>52778</v>
      </c>
      <c r="Y121" s="60">
        <v>2044</v>
      </c>
      <c r="Z121" s="60"/>
      <c r="AA121" s="60"/>
      <c r="AB121" s="60"/>
      <c r="AC121" s="60"/>
      <c r="AD121" s="60"/>
    </row>
    <row r="122" spans="1:30" x14ac:dyDescent="0.2">
      <c r="A122" s="58" t="s">
        <v>310</v>
      </c>
      <c r="B122" s="58" t="s">
        <v>390</v>
      </c>
      <c r="C122" s="58" t="s">
        <v>152</v>
      </c>
      <c r="D122" s="58" t="s">
        <v>152</v>
      </c>
      <c r="E122" s="58" t="s">
        <v>24</v>
      </c>
      <c r="F122" s="59">
        <v>45657</v>
      </c>
      <c r="G122" s="58">
        <v>2024</v>
      </c>
      <c r="H122" s="58">
        <v>15</v>
      </c>
      <c r="I122" s="58">
        <v>0.5</v>
      </c>
      <c r="J122" s="58">
        <f t="shared" si="1"/>
        <v>7.5</v>
      </c>
      <c r="K122" s="58">
        <v>3110</v>
      </c>
      <c r="L122" s="58">
        <v>23.324999999999999</v>
      </c>
      <c r="M122" s="58">
        <v>1.1102230246251565E-16</v>
      </c>
      <c r="N122" s="58">
        <v>2.5895952049381776E-15</v>
      </c>
      <c r="O122" s="58" t="s">
        <v>122</v>
      </c>
      <c r="P122" s="58">
        <v>62</v>
      </c>
      <c r="Q122" s="58">
        <v>1.4461499999999998</v>
      </c>
      <c r="R122" s="58">
        <v>1.6055490270616699E-16</v>
      </c>
      <c r="S122" s="58">
        <v>2044</v>
      </c>
      <c r="T122" s="58">
        <v>62</v>
      </c>
      <c r="U122" s="58">
        <v>1.4461499999999998</v>
      </c>
      <c r="V122" s="58">
        <v>1.4461499999999998</v>
      </c>
      <c r="W122" s="58">
        <v>1.4461499999999996</v>
      </c>
      <c r="X122" s="59">
        <v>52961</v>
      </c>
      <c r="Y122" s="58">
        <v>2044</v>
      </c>
    </row>
    <row r="123" spans="1:30" x14ac:dyDescent="0.2">
      <c r="A123" s="60"/>
      <c r="B123" s="60"/>
      <c r="C123" s="60" t="s">
        <v>153</v>
      </c>
      <c r="D123" s="60" t="s">
        <v>153</v>
      </c>
      <c r="E123" s="60" t="s">
        <v>24</v>
      </c>
      <c r="F123" s="65">
        <v>45839</v>
      </c>
      <c r="G123" s="60">
        <v>2025</v>
      </c>
      <c r="H123" s="60">
        <v>205.1</v>
      </c>
      <c r="I123" s="60">
        <v>0.4</v>
      </c>
      <c r="J123" s="60">
        <f t="shared" si="1"/>
        <v>82.04</v>
      </c>
      <c r="K123" s="60">
        <v>2200</v>
      </c>
      <c r="L123" s="60">
        <v>180.488</v>
      </c>
      <c r="M123" s="60">
        <v>0.48678709677419352</v>
      </c>
      <c r="N123" s="60">
        <v>87.859229522580634</v>
      </c>
      <c r="O123" s="60" t="s">
        <v>122</v>
      </c>
      <c r="P123" s="60">
        <v>55</v>
      </c>
      <c r="Q123" s="60">
        <v>9.9268400000000003</v>
      </c>
      <c r="R123" s="60">
        <v>4.8322576237419357</v>
      </c>
      <c r="S123" s="60">
        <v>2045</v>
      </c>
      <c r="T123" s="60">
        <v>55</v>
      </c>
      <c r="U123" s="60">
        <v>9.9268400000000003</v>
      </c>
      <c r="V123" s="60">
        <v>9.9268400000000003</v>
      </c>
      <c r="W123" s="60">
        <v>5.0945823762580646</v>
      </c>
      <c r="X123" s="65">
        <v>53143</v>
      </c>
      <c r="Y123" s="60">
        <v>2045</v>
      </c>
      <c r="Z123" s="60"/>
      <c r="AA123" s="60"/>
      <c r="AB123" s="60"/>
      <c r="AC123" s="60"/>
      <c r="AD123" s="60"/>
    </row>
    <row r="124" spans="1:30" x14ac:dyDescent="0.2">
      <c r="A124" s="60"/>
      <c r="B124" s="60"/>
      <c r="C124" s="60" t="s">
        <v>154</v>
      </c>
      <c r="D124" s="60" t="s">
        <v>154</v>
      </c>
      <c r="E124" s="60" t="s">
        <v>73</v>
      </c>
      <c r="F124" s="65">
        <v>45839</v>
      </c>
      <c r="G124" s="60">
        <v>2025</v>
      </c>
      <c r="H124" s="60">
        <v>180</v>
      </c>
      <c r="I124" s="60">
        <v>0.4</v>
      </c>
      <c r="J124" s="60">
        <f t="shared" si="1"/>
        <v>72</v>
      </c>
      <c r="K124" s="60">
        <v>1200</v>
      </c>
      <c r="L124" s="60">
        <v>86.4</v>
      </c>
      <c r="M124" s="60">
        <v>0.47798695953588544</v>
      </c>
      <c r="N124" s="60">
        <v>41.298073303900502</v>
      </c>
      <c r="O124" s="60" t="s">
        <v>122</v>
      </c>
      <c r="P124" s="60">
        <v>50</v>
      </c>
      <c r="Q124" s="60">
        <v>4.32</v>
      </c>
      <c r="R124" s="60">
        <v>2.064903665195025</v>
      </c>
      <c r="S124" s="60">
        <v>2045</v>
      </c>
      <c r="T124" s="60">
        <v>50</v>
      </c>
      <c r="U124" s="60">
        <v>4.32</v>
      </c>
      <c r="V124" s="60">
        <v>4.32</v>
      </c>
      <c r="W124" s="60">
        <v>2.2550963348049753</v>
      </c>
      <c r="X124" s="65">
        <v>53143</v>
      </c>
      <c r="Y124" s="60">
        <v>2045</v>
      </c>
      <c r="Z124" s="60"/>
      <c r="AA124" s="60"/>
      <c r="AB124" s="60"/>
      <c r="AC124" s="60"/>
      <c r="AD124" s="60"/>
    </row>
    <row r="125" spans="1:30" x14ac:dyDescent="0.2">
      <c r="A125" s="58" t="s">
        <v>311</v>
      </c>
      <c r="B125" s="58" t="s">
        <v>391</v>
      </c>
      <c r="C125" s="58" t="s">
        <v>155</v>
      </c>
      <c r="D125" s="58" t="s">
        <v>155</v>
      </c>
      <c r="E125" s="58" t="s">
        <v>24</v>
      </c>
      <c r="F125" s="59">
        <v>45992</v>
      </c>
      <c r="G125" s="58">
        <v>2025</v>
      </c>
      <c r="H125" s="58">
        <v>68</v>
      </c>
      <c r="I125" s="58">
        <v>0.4</v>
      </c>
      <c r="J125" s="58">
        <f t="shared" si="1"/>
        <v>27.200000000000003</v>
      </c>
      <c r="K125" s="58">
        <v>2330</v>
      </c>
      <c r="L125" s="58">
        <v>63.376000000000005</v>
      </c>
      <c r="M125" s="58">
        <v>9.0961290322580449E-2</v>
      </c>
      <c r="N125" s="58">
        <v>5.7647627354838589</v>
      </c>
      <c r="O125" s="58" t="s">
        <v>122</v>
      </c>
      <c r="P125" s="58">
        <v>57.07</v>
      </c>
      <c r="Q125" s="58">
        <v>3.6168683200000005</v>
      </c>
      <c r="R125" s="58">
        <v>0.32899500931406384</v>
      </c>
      <c r="S125" s="58">
        <v>2045</v>
      </c>
      <c r="T125" s="58">
        <v>57.07</v>
      </c>
      <c r="U125" s="58">
        <v>3.6168683200000005</v>
      </c>
      <c r="V125" s="58">
        <v>3.61686832</v>
      </c>
      <c r="W125" s="58">
        <v>3.2878733106859368</v>
      </c>
      <c r="X125" s="59">
        <v>53296</v>
      </c>
      <c r="Y125" s="58">
        <v>2045</v>
      </c>
    </row>
    <row r="126" spans="1:30" x14ac:dyDescent="0.2">
      <c r="A126" s="58" t="s">
        <v>394</v>
      </c>
      <c r="B126" s="58" t="s">
        <v>395</v>
      </c>
      <c r="C126" s="62" t="s">
        <v>156</v>
      </c>
      <c r="D126" s="62" t="s">
        <v>156</v>
      </c>
      <c r="E126" s="62" t="s">
        <v>73</v>
      </c>
      <c r="F126" s="66">
        <v>45992</v>
      </c>
      <c r="G126" s="62">
        <v>2025</v>
      </c>
      <c r="H126" s="62">
        <v>106</v>
      </c>
      <c r="I126" s="62">
        <v>0.4</v>
      </c>
      <c r="J126" s="62">
        <f t="shared" si="1"/>
        <v>42.400000000000006</v>
      </c>
      <c r="K126" s="62">
        <v>1493.3962264150944</v>
      </c>
      <c r="L126" s="62">
        <v>63.320000000000007</v>
      </c>
      <c r="M126" s="62">
        <v>3.500988804974086E-2</v>
      </c>
      <c r="N126" s="62">
        <v>2.2168261113095915</v>
      </c>
      <c r="O126" s="62" t="s">
        <v>157</v>
      </c>
      <c r="P126" s="62">
        <v>45</v>
      </c>
      <c r="Q126" s="62">
        <v>2.8494000000000006</v>
      </c>
      <c r="R126" s="62">
        <v>9.9757175008931609E-2</v>
      </c>
      <c r="S126" s="62">
        <v>2045</v>
      </c>
      <c r="T126" s="62">
        <v>45</v>
      </c>
      <c r="U126" s="62">
        <v>2.8494000000000006</v>
      </c>
      <c r="V126" s="62">
        <v>2.8494000000000006</v>
      </c>
      <c r="W126" s="62">
        <v>2.7496428249910685</v>
      </c>
      <c r="X126" s="66">
        <v>53296</v>
      </c>
      <c r="Y126" s="62">
        <v>2045</v>
      </c>
      <c r="Z126" s="62"/>
      <c r="AA126" s="62"/>
      <c r="AB126" s="62"/>
      <c r="AC126" s="62"/>
      <c r="AD126" s="62"/>
    </row>
    <row r="127" spans="1:30" x14ac:dyDescent="0.2">
      <c r="A127" s="58" t="s">
        <v>312</v>
      </c>
      <c r="B127" s="58" t="s">
        <v>389</v>
      </c>
      <c r="C127" s="58" t="s">
        <v>158</v>
      </c>
      <c r="D127" s="58" t="s">
        <v>158</v>
      </c>
      <c r="E127" s="58" t="s">
        <v>24</v>
      </c>
      <c r="F127" s="59">
        <v>45992</v>
      </c>
      <c r="G127" s="58">
        <v>2025</v>
      </c>
      <c r="H127" s="58">
        <v>20</v>
      </c>
      <c r="I127" s="58">
        <v>0.4</v>
      </c>
      <c r="J127" s="58">
        <f t="shared" si="1"/>
        <v>8</v>
      </c>
      <c r="K127" s="58">
        <v>2416.8253968253971</v>
      </c>
      <c r="L127" s="58">
        <v>19.334603174603178</v>
      </c>
      <c r="M127" s="58">
        <v>0.10790865454771144</v>
      </c>
      <c r="N127" s="58">
        <v>2.0863710147853394</v>
      </c>
      <c r="O127" s="58" t="s">
        <v>122</v>
      </c>
      <c r="P127" s="58">
        <v>55</v>
      </c>
      <c r="Q127" s="58">
        <v>1.0634031746031749</v>
      </c>
      <c r="R127" s="58">
        <v>0.11475040581319366</v>
      </c>
      <c r="S127" s="58">
        <v>2045</v>
      </c>
      <c r="T127" s="58">
        <v>55</v>
      </c>
      <c r="U127" s="58">
        <v>1.0634031746031749</v>
      </c>
      <c r="V127" s="58">
        <v>1.0634031746031749</v>
      </c>
      <c r="W127" s="58">
        <v>0.94865276878998106</v>
      </c>
      <c r="X127" s="59">
        <v>53296</v>
      </c>
      <c r="Y127" s="58">
        <v>2045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B2F-D819-4A51-8154-E79CF97AAF09}">
  <sheetPr codeName="Feuil2"/>
  <dimension ref="A1:AR271"/>
  <sheetViews>
    <sheetView zoomScale="115" zoomScaleNormal="115" workbookViewId="0">
      <pane xSplit="2" ySplit="3" topLeftCell="AI4" activePane="bottomRight" state="frozen"/>
      <selection pane="topRight" activeCell="C1" sqref="C1"/>
      <selection pane="bottomLeft" activeCell="A4" sqref="A4"/>
      <selection pane="bottomRight" activeCell="AS11" sqref="AS11"/>
    </sheetView>
  </sheetViews>
  <sheetFormatPr defaultColWidth="11.42578125" defaultRowHeight="15" x14ac:dyDescent="0.25"/>
  <cols>
    <col min="1" max="1" width="2.85546875" customWidth="1"/>
    <col min="2" max="2" width="21.5703125" style="4" customWidth="1"/>
    <col min="3" max="3" width="19.85546875" style="4" customWidth="1"/>
    <col min="4" max="4" width="4.42578125" style="4" bestFit="1" customWidth="1"/>
    <col min="5" max="5" width="5.85546875" style="4" customWidth="1"/>
    <col min="6" max="6" width="10" style="4" customWidth="1"/>
    <col min="7" max="7" width="9.85546875" style="4" bestFit="1" customWidth="1"/>
    <col min="8" max="8" width="9.5703125" style="4" bestFit="1" customWidth="1"/>
    <col min="9" max="9" width="8.42578125" style="4" bestFit="1" customWidth="1"/>
    <col min="10" max="10" width="8" style="4" bestFit="1" customWidth="1"/>
    <col min="11" max="11" width="7.42578125" style="4" bestFit="1" customWidth="1"/>
    <col min="12" max="12" width="7.85546875" style="4" bestFit="1" customWidth="1"/>
    <col min="13" max="13" width="9" style="4" bestFit="1" customWidth="1"/>
    <col min="14" max="14" width="8.140625" style="4" bestFit="1" customWidth="1"/>
    <col min="15" max="15" width="12.42578125" style="4" bestFit="1" customWidth="1"/>
    <col min="16" max="16" width="10.42578125" style="4" bestFit="1" customWidth="1"/>
    <col min="17" max="18" width="11.5703125" style="4" bestFit="1" customWidth="1"/>
  </cols>
  <sheetData>
    <row r="1" spans="2:44" ht="15.75" thickBot="1" x14ac:dyDescent="0.3">
      <c r="B1" s="13"/>
      <c r="C1" s="13">
        <v>1</v>
      </c>
      <c r="D1" s="14">
        <f t="shared" ref="D1" si="0">C1+1</f>
        <v>2</v>
      </c>
      <c r="E1" s="14">
        <f t="shared" ref="E1" si="1">D1+1</f>
        <v>3</v>
      </c>
      <c r="F1" s="14">
        <f t="shared" ref="F1" si="2">E1+1</f>
        <v>4</v>
      </c>
      <c r="G1" s="13">
        <f t="shared" ref="G1" si="3">F1+1</f>
        <v>5</v>
      </c>
      <c r="H1" s="13">
        <f t="shared" ref="H1" si="4">G1+1</f>
        <v>6</v>
      </c>
      <c r="I1" s="13">
        <f t="shared" ref="I1" si="5">H1+1</f>
        <v>7</v>
      </c>
      <c r="J1" s="13">
        <f t="shared" ref="J1" si="6">I1+1</f>
        <v>8</v>
      </c>
      <c r="K1" s="13">
        <f t="shared" ref="K1" si="7">J1+1</f>
        <v>9</v>
      </c>
      <c r="L1" s="13">
        <f t="shared" ref="L1" si="8">K1+1</f>
        <v>10</v>
      </c>
      <c r="M1" s="13">
        <f t="shared" ref="M1" si="9">L1+1</f>
        <v>11</v>
      </c>
      <c r="N1" s="13">
        <f t="shared" ref="N1" si="10">M1+1</f>
        <v>12</v>
      </c>
      <c r="O1" s="13">
        <f t="shared" ref="O1" si="11">N1+1</f>
        <v>13</v>
      </c>
      <c r="P1" s="13">
        <f t="shared" ref="P1" si="12">O1+1</f>
        <v>14</v>
      </c>
      <c r="Q1" s="13">
        <f t="shared" ref="Q1" si="13">P1+1</f>
        <v>15</v>
      </c>
      <c r="R1" s="13">
        <f t="shared" ref="R1" si="14">Q1+1</f>
        <v>16</v>
      </c>
      <c r="S1" s="14">
        <f t="shared" ref="S1" si="15">R1+1</f>
        <v>17</v>
      </c>
      <c r="T1" s="14">
        <f t="shared" ref="T1" si="16">S1+1</f>
        <v>18</v>
      </c>
      <c r="U1" s="14">
        <f t="shared" ref="U1" si="17">T1+1</f>
        <v>19</v>
      </c>
      <c r="V1" s="14">
        <f t="shared" ref="V1" si="18">U1+1</f>
        <v>20</v>
      </c>
      <c r="W1" s="14">
        <f t="shared" ref="W1" si="19">V1+1</f>
        <v>21</v>
      </c>
      <c r="X1" s="14">
        <f t="shared" ref="X1" si="20">W1+1</f>
        <v>22</v>
      </c>
      <c r="Y1" s="14">
        <f t="shared" ref="Y1" si="21">X1+1</f>
        <v>23</v>
      </c>
      <c r="Z1" s="14">
        <f t="shared" ref="Z1" si="22">Y1+1</f>
        <v>24</v>
      </c>
      <c r="AA1" s="14">
        <f t="shared" ref="AA1" si="23">Z1+1</f>
        <v>25</v>
      </c>
      <c r="AB1" s="14">
        <f t="shared" ref="AB1" si="24">AA1+1</f>
        <v>26</v>
      </c>
      <c r="AC1" s="14">
        <f t="shared" ref="AC1" si="25">AB1+1</f>
        <v>27</v>
      </c>
      <c r="AD1" s="14">
        <f t="shared" ref="AD1" si="26">AC1+1</f>
        <v>28</v>
      </c>
      <c r="AE1" s="14">
        <f t="shared" ref="AE1" si="27">AD1+1</f>
        <v>29</v>
      </c>
      <c r="AF1" s="14">
        <f t="shared" ref="AF1" si="28">AE1+1</f>
        <v>30</v>
      </c>
      <c r="AG1" s="14">
        <f t="shared" ref="AG1" si="29">AF1+1</f>
        <v>31</v>
      </c>
      <c r="AH1" s="14">
        <f t="shared" ref="AH1" si="30">AG1+1</f>
        <v>32</v>
      </c>
      <c r="AI1" s="14">
        <f t="shared" ref="AI1" si="31">AH1+1</f>
        <v>33</v>
      </c>
      <c r="AJ1" s="14">
        <f t="shared" ref="AJ1" si="32">AI1+1</f>
        <v>34</v>
      </c>
      <c r="AK1" s="14">
        <f t="shared" ref="AK1" si="33">AJ1+1</f>
        <v>35</v>
      </c>
      <c r="AL1" s="14">
        <f t="shared" ref="AL1" si="34">AK1+1</f>
        <v>36</v>
      </c>
      <c r="AM1" s="14">
        <f t="shared" ref="AM1" si="35">AL1+1</f>
        <v>37</v>
      </c>
      <c r="AN1" s="14">
        <f t="shared" ref="AN1" si="36">AM1+1</f>
        <v>38</v>
      </c>
      <c r="AO1" s="14">
        <f t="shared" ref="AO1" si="37">AN1+1</f>
        <v>39</v>
      </c>
      <c r="AP1" s="14">
        <f t="shared" ref="AP1" si="38">AO1+1</f>
        <v>40</v>
      </c>
      <c r="AQ1" s="14">
        <f t="shared" ref="AQ1" si="39">AP1+1</f>
        <v>41</v>
      </c>
    </row>
    <row r="2" spans="2:44" x14ac:dyDescent="0.25">
      <c r="B2" s="70" t="s">
        <v>0</v>
      </c>
      <c r="C2" s="72" t="s">
        <v>1</v>
      </c>
      <c r="D2" s="72" t="s">
        <v>159</v>
      </c>
      <c r="E2" s="74" t="s">
        <v>8</v>
      </c>
      <c r="F2" s="67" t="s">
        <v>9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 t="s">
        <v>160</v>
      </c>
      <c r="U2" s="68"/>
      <c r="V2" s="68"/>
      <c r="W2" s="68"/>
      <c r="X2" s="68"/>
      <c r="Y2" s="68"/>
      <c r="Z2" s="68"/>
      <c r="AA2" s="68"/>
      <c r="AB2" s="68"/>
      <c r="AC2" s="68"/>
      <c r="AD2" s="68"/>
      <c r="AE2" s="69"/>
      <c r="AF2" s="68" t="s">
        <v>161</v>
      </c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9"/>
    </row>
    <row r="3" spans="2:44" ht="15.75" thickBot="1" x14ac:dyDescent="0.3">
      <c r="B3" s="71"/>
      <c r="C3" s="73"/>
      <c r="D3" s="73"/>
      <c r="E3" s="75"/>
      <c r="F3" s="17" t="s">
        <v>162</v>
      </c>
      <c r="G3" s="15">
        <v>1</v>
      </c>
      <c r="H3" s="15">
        <v>2</v>
      </c>
      <c r="I3" s="15">
        <v>3</v>
      </c>
      <c r="J3" s="15">
        <v>4</v>
      </c>
      <c r="K3" s="15">
        <v>5</v>
      </c>
      <c r="L3" s="15">
        <v>6</v>
      </c>
      <c r="M3" s="15">
        <v>7</v>
      </c>
      <c r="N3" s="15">
        <v>8</v>
      </c>
      <c r="O3" s="15">
        <v>9</v>
      </c>
      <c r="P3" s="15">
        <v>10</v>
      </c>
      <c r="Q3" s="15">
        <v>11</v>
      </c>
      <c r="R3" s="15">
        <v>12</v>
      </c>
      <c r="S3" s="17" t="s">
        <v>162</v>
      </c>
      <c r="T3" s="15">
        <f>G3</f>
        <v>1</v>
      </c>
      <c r="U3" s="15">
        <f t="shared" ref="U3:AE3" si="40">H3</f>
        <v>2</v>
      </c>
      <c r="V3" s="15">
        <f t="shared" si="40"/>
        <v>3</v>
      </c>
      <c r="W3" s="15">
        <f t="shared" si="40"/>
        <v>4</v>
      </c>
      <c r="X3" s="15">
        <f t="shared" si="40"/>
        <v>5</v>
      </c>
      <c r="Y3" s="15">
        <f t="shared" si="40"/>
        <v>6</v>
      </c>
      <c r="Z3" s="15">
        <f t="shared" si="40"/>
        <v>7</v>
      </c>
      <c r="AA3" s="15">
        <f t="shared" si="40"/>
        <v>8</v>
      </c>
      <c r="AB3" s="15">
        <f t="shared" si="40"/>
        <v>9</v>
      </c>
      <c r="AC3" s="15">
        <f t="shared" si="40"/>
        <v>10</v>
      </c>
      <c r="AD3" s="15">
        <f t="shared" si="40"/>
        <v>11</v>
      </c>
      <c r="AE3" s="15">
        <f t="shared" si="40"/>
        <v>12</v>
      </c>
      <c r="AF3" s="15">
        <f>T3</f>
        <v>1</v>
      </c>
      <c r="AG3" s="15">
        <f t="shared" ref="AG3:AQ3" si="41">U3</f>
        <v>2</v>
      </c>
      <c r="AH3" s="15">
        <f t="shared" si="41"/>
        <v>3</v>
      </c>
      <c r="AI3" s="15">
        <f t="shared" si="41"/>
        <v>4</v>
      </c>
      <c r="AJ3" s="15">
        <f t="shared" si="41"/>
        <v>5</v>
      </c>
      <c r="AK3" s="15">
        <f t="shared" si="41"/>
        <v>6</v>
      </c>
      <c r="AL3" s="15">
        <f t="shared" si="41"/>
        <v>7</v>
      </c>
      <c r="AM3" s="15">
        <f t="shared" si="41"/>
        <v>8</v>
      </c>
      <c r="AN3" s="15">
        <f t="shared" si="41"/>
        <v>9</v>
      </c>
      <c r="AO3" s="15">
        <f t="shared" si="41"/>
        <v>10</v>
      </c>
      <c r="AP3" s="15">
        <f t="shared" si="41"/>
        <v>11</v>
      </c>
      <c r="AQ3" s="15">
        <f t="shared" si="41"/>
        <v>12</v>
      </c>
    </row>
    <row r="4" spans="2:44" x14ac:dyDescent="0.25">
      <c r="B4" s="3" t="s">
        <v>23</v>
      </c>
      <c r="C4" s="3" t="str">
        <f>B4</f>
        <v>Avignonet 1</v>
      </c>
      <c r="D4" s="3" cm="1">
        <f t="array" ref="D4">VLOOKUP($C4,BD!$C:$X,BD!G$1-1,FALSE)</f>
        <v>8</v>
      </c>
      <c r="E4" s="18">
        <f t="shared" ref="E4:E59" si="42">F4/D4</f>
        <v>2125</v>
      </c>
      <c r="F4" s="18">
        <f t="shared" ref="F4:F59" si="43">SUM(G4:R4)</f>
        <v>17000</v>
      </c>
      <c r="G4" s="38">
        <v>1652.596</v>
      </c>
      <c r="H4" s="38">
        <v>1671.5139999999999</v>
      </c>
      <c r="I4" s="38">
        <v>1707.2940000000001</v>
      </c>
      <c r="J4" s="38">
        <v>1583.914</v>
      </c>
      <c r="K4" s="38">
        <v>1478.6310000000001</v>
      </c>
      <c r="L4" s="38">
        <v>1108.903</v>
      </c>
      <c r="M4" s="38">
        <v>955.50199999999995</v>
      </c>
      <c r="N4" s="38">
        <v>943.57500000000005</v>
      </c>
      <c r="O4" s="38">
        <v>1192.3900000000001</v>
      </c>
      <c r="P4" s="38">
        <v>1570.7539999999999</v>
      </c>
      <c r="Q4" s="38">
        <v>1549.779</v>
      </c>
      <c r="R4" s="38">
        <v>1585.1479999999999</v>
      </c>
      <c r="S4" s="19">
        <f t="shared" ref="S4:S84" si="44">SUM(T4:AE4)</f>
        <v>1</v>
      </c>
      <c r="T4" s="16">
        <f t="shared" ref="T4:T51" si="45">G4/$F4</f>
        <v>9.7211529411764711E-2</v>
      </c>
      <c r="U4" s="16">
        <f t="shared" ref="U4:U51" si="46">H4/$F4</f>
        <v>9.832435294117646E-2</v>
      </c>
      <c r="V4" s="16">
        <f t="shared" ref="V4:V51" si="47">I4/$F4</f>
        <v>0.10042905882352941</v>
      </c>
      <c r="W4" s="16">
        <f t="shared" ref="W4:W51" si="48">J4/$F4</f>
        <v>9.3171411764705878E-2</v>
      </c>
      <c r="X4" s="16">
        <f t="shared" ref="X4:X51" si="49">K4/$F4</f>
        <v>8.697829411764707E-2</v>
      </c>
      <c r="Y4" s="16">
        <f t="shared" ref="Y4:Y51" si="50">L4/$F4</f>
        <v>6.5229588235294123E-2</v>
      </c>
      <c r="Z4" s="16">
        <f t="shared" ref="Z4:Z51" si="51">M4/$F4</f>
        <v>5.6205999999999999E-2</v>
      </c>
      <c r="AA4" s="16">
        <f t="shared" ref="AA4:AA51" si="52">N4/$F4</f>
        <v>5.5504411764705885E-2</v>
      </c>
      <c r="AB4" s="16">
        <f t="shared" ref="AB4:AB51" si="53">O4/$F4</f>
        <v>7.0140588235294121E-2</v>
      </c>
      <c r="AC4" s="16">
        <f t="shared" ref="AC4:AC51" si="54">P4/$F4</f>
        <v>9.239729411764705E-2</v>
      </c>
      <c r="AD4" s="16">
        <f t="shared" ref="AD4:AD51" si="55">Q4/$F4</f>
        <v>9.116347058823529E-2</v>
      </c>
      <c r="AE4" s="16">
        <f t="shared" ref="AE4:AE51" si="56">R4/$F4</f>
        <v>9.3243999999999994E-2</v>
      </c>
      <c r="AF4" s="16">
        <f t="shared" ref="AF4:AF84" si="57">T4</f>
        <v>9.7211529411764711E-2</v>
      </c>
      <c r="AG4" s="16">
        <f t="shared" ref="AG4:AG84" si="58">AF4+U4</f>
        <v>0.19553588235294117</v>
      </c>
      <c r="AH4" s="16">
        <f t="shared" ref="AH4:AH84" si="59">AG4+V4</f>
        <v>0.2959649411764706</v>
      </c>
      <c r="AI4" s="16">
        <f t="shared" ref="AI4:AI84" si="60">AH4+W4</f>
        <v>0.38913635294117649</v>
      </c>
      <c r="AJ4" s="16">
        <f t="shared" ref="AJ4:AJ84" si="61">AI4+X4</f>
        <v>0.47611464705882356</v>
      </c>
      <c r="AK4" s="16">
        <f t="shared" ref="AK4:AK84" si="62">AJ4+Y4</f>
        <v>0.54134423529411768</v>
      </c>
      <c r="AL4" s="16">
        <f t="shared" ref="AL4:AL84" si="63">AK4+Z4</f>
        <v>0.59755023529411766</v>
      </c>
      <c r="AM4" s="16">
        <f t="shared" ref="AM4:AM84" si="64">AL4+AA4</f>
        <v>0.65305464705882355</v>
      </c>
      <c r="AN4" s="16">
        <f t="shared" ref="AN4:AN84" si="65">AM4+AB4</f>
        <v>0.72319523529411767</v>
      </c>
      <c r="AO4" s="16">
        <f t="shared" ref="AO4:AO84" si="66">AN4+AC4</f>
        <v>0.81559252941176474</v>
      </c>
      <c r="AP4" s="16">
        <f t="shared" ref="AP4:AP84" si="67">AO4+AD4</f>
        <v>0.90675600000000001</v>
      </c>
      <c r="AQ4" s="16">
        <f t="shared" ref="AQ4:AQ84" si="68">AP4+AE4</f>
        <v>1</v>
      </c>
    </row>
    <row r="5" spans="2:44" x14ac:dyDescent="0.25">
      <c r="B5" s="3" t="s">
        <v>26</v>
      </c>
      <c r="C5" s="3" t="str">
        <f>B5</f>
        <v xml:space="preserve">Chépy </v>
      </c>
      <c r="D5" s="3" cm="1">
        <f t="array" ref="D5">VLOOKUP($C5,BD!$C:$X,BD!G$1-1,FALSE)</f>
        <v>4</v>
      </c>
      <c r="E5" s="18">
        <f t="shared" si="42"/>
        <v>1475</v>
      </c>
      <c r="F5" s="18">
        <v>5900</v>
      </c>
      <c r="G5" s="38">
        <v>798.62900000000002</v>
      </c>
      <c r="H5" s="38">
        <v>689.32299999999998</v>
      </c>
      <c r="I5" s="38">
        <v>572.197</v>
      </c>
      <c r="J5" s="38">
        <v>414.40600000000001</v>
      </c>
      <c r="K5" s="38">
        <v>377.73899999999998</v>
      </c>
      <c r="L5" s="38">
        <v>295.89</v>
      </c>
      <c r="M5" s="38">
        <v>296.93299999999999</v>
      </c>
      <c r="N5" s="38">
        <v>299.53899999999999</v>
      </c>
      <c r="O5" s="38">
        <v>382.779</v>
      </c>
      <c r="P5" s="38">
        <v>581.928</v>
      </c>
      <c r="Q5" s="38">
        <v>637.53700000000003</v>
      </c>
      <c r="R5" s="38">
        <v>753.09900000000005</v>
      </c>
      <c r="S5" s="19">
        <f t="shared" si="44"/>
        <v>1.0000000000000002</v>
      </c>
      <c r="T5" s="16">
        <v>0.1362885957470964</v>
      </c>
      <c r="U5" s="16">
        <v>0.10581502423518062</v>
      </c>
      <c r="V5" s="16">
        <v>0.10135193518784237</v>
      </c>
      <c r="W5" s="16">
        <v>5.9965594558200712E-2</v>
      </c>
      <c r="X5" s="16">
        <v>6.561316425996766E-2</v>
      </c>
      <c r="Y5" s="16">
        <v>5.0566854093806089E-2</v>
      </c>
      <c r="Z5" s="16">
        <v>5.4872264672769885E-2</v>
      </c>
      <c r="AA5" s="16">
        <v>5.5269772091541824E-2</v>
      </c>
      <c r="AB5" s="16">
        <v>5.5045237952576639E-2</v>
      </c>
      <c r="AC5" s="16">
        <v>8.5738140214001238E-2</v>
      </c>
      <c r="AD5" s="16">
        <v>0.10529484296801338</v>
      </c>
      <c r="AE5" s="16">
        <v>0.12417857401900344</v>
      </c>
      <c r="AF5" s="16">
        <f t="shared" si="57"/>
        <v>0.1362885957470964</v>
      </c>
      <c r="AG5" s="16">
        <f t="shared" si="58"/>
        <v>0.24210361998227703</v>
      </c>
      <c r="AH5" s="16">
        <f t="shared" si="59"/>
        <v>0.34345555517011939</v>
      </c>
      <c r="AI5" s="16">
        <f t="shared" si="60"/>
        <v>0.40342114972832011</v>
      </c>
      <c r="AJ5" s="16">
        <f t="shared" si="61"/>
        <v>0.46903431398828777</v>
      </c>
      <c r="AK5" s="16">
        <f t="shared" si="62"/>
        <v>0.51960116808209389</v>
      </c>
      <c r="AL5" s="16">
        <f t="shared" si="63"/>
        <v>0.57447343275486373</v>
      </c>
      <c r="AM5" s="16">
        <f t="shared" si="64"/>
        <v>0.62974320484640556</v>
      </c>
      <c r="AN5" s="16">
        <f t="shared" si="65"/>
        <v>0.68478844279898221</v>
      </c>
      <c r="AO5" s="16">
        <f t="shared" si="66"/>
        <v>0.77052658301298349</v>
      </c>
      <c r="AP5" s="16">
        <f t="shared" si="67"/>
        <v>0.87582142598099688</v>
      </c>
      <c r="AQ5" s="16">
        <f t="shared" si="68"/>
        <v>1.0000000000000002</v>
      </c>
      <c r="AR5" t="s">
        <v>422</v>
      </c>
    </row>
    <row r="6" spans="2:44" x14ac:dyDescent="0.25">
      <c r="B6" s="3" t="s">
        <v>27</v>
      </c>
      <c r="C6" s="3" t="str">
        <f>B6</f>
        <v xml:space="preserve">Nibas </v>
      </c>
      <c r="D6" s="3" cm="1">
        <f t="array" ref="D6">VLOOKUP($C6,BD!$C:$X,BD!G$1-1,FALSE)</f>
        <v>12</v>
      </c>
      <c r="E6" s="18">
        <f t="shared" si="42"/>
        <v>1475</v>
      </c>
      <c r="F6" s="18">
        <v>17700</v>
      </c>
      <c r="G6" s="38">
        <v>2300.011</v>
      </c>
      <c r="H6" s="38">
        <v>1984.279</v>
      </c>
      <c r="I6" s="38">
        <v>1651.2470000000001</v>
      </c>
      <c r="J6" s="38">
        <v>1196.152</v>
      </c>
      <c r="K6" s="38">
        <v>1098.597</v>
      </c>
      <c r="L6" s="38">
        <v>873.21199999999999</v>
      </c>
      <c r="M6" s="38">
        <v>886.66800000000001</v>
      </c>
      <c r="N6" s="38">
        <v>890.03200000000004</v>
      </c>
      <c r="O6" s="38">
        <v>1121.184</v>
      </c>
      <c r="P6" s="38">
        <v>1681.0429999999999</v>
      </c>
      <c r="Q6" s="38">
        <v>1847.799</v>
      </c>
      <c r="R6" s="38">
        <v>2169.7779999999998</v>
      </c>
      <c r="S6" s="19">
        <f t="shared" si="44"/>
        <v>0.99999999999999989</v>
      </c>
      <c r="T6" s="16">
        <v>0.12925042321691102</v>
      </c>
      <c r="U6" s="16">
        <v>0.10620191033240245</v>
      </c>
      <c r="V6" s="16">
        <v>0.10412024627733991</v>
      </c>
      <c r="W6" s="16">
        <v>5.8808735933631694E-2</v>
      </c>
      <c r="X6" s="16">
        <v>7.1675365114250364E-2</v>
      </c>
      <c r="Y6" s="16">
        <v>5.2302083730355685E-2</v>
      </c>
      <c r="Z6" s="16">
        <v>6.0614179490221146E-2</v>
      </c>
      <c r="AA6" s="16">
        <v>5.9496128844657437E-2</v>
      </c>
      <c r="AB6" s="16">
        <v>5.2240683553660211E-2</v>
      </c>
      <c r="AC6" s="16">
        <v>7.4792053072021594E-2</v>
      </c>
      <c r="AD6" s="16">
        <v>0.1060227952572298</v>
      </c>
      <c r="AE6" s="16">
        <v>0.12447539517731857</v>
      </c>
      <c r="AF6" s="16">
        <f t="shared" si="57"/>
        <v>0.12925042321691102</v>
      </c>
      <c r="AG6" s="16">
        <f t="shared" si="58"/>
        <v>0.23545233354931347</v>
      </c>
      <c r="AH6" s="16">
        <f t="shared" si="59"/>
        <v>0.3395725798266534</v>
      </c>
      <c r="AI6" s="16">
        <f t="shared" si="60"/>
        <v>0.39838131576028507</v>
      </c>
      <c r="AJ6" s="16">
        <f t="shared" si="61"/>
        <v>0.47005668087453545</v>
      </c>
      <c r="AK6" s="16">
        <f t="shared" si="62"/>
        <v>0.52235876460489117</v>
      </c>
      <c r="AL6" s="16">
        <f t="shared" si="63"/>
        <v>0.58297294409511236</v>
      </c>
      <c r="AM6" s="16">
        <f t="shared" si="64"/>
        <v>0.64246907293976974</v>
      </c>
      <c r="AN6" s="16">
        <f t="shared" si="65"/>
        <v>0.69470975649342992</v>
      </c>
      <c r="AO6" s="16">
        <f t="shared" si="66"/>
        <v>0.76950180956545156</v>
      </c>
      <c r="AP6" s="16">
        <f t="shared" si="67"/>
        <v>0.87552460482268135</v>
      </c>
      <c r="AQ6" s="16">
        <f t="shared" si="68"/>
        <v>0.99999999999999989</v>
      </c>
    </row>
    <row r="7" spans="2:44" ht="19.5" x14ac:dyDescent="0.25">
      <c r="B7" s="3" t="s">
        <v>29</v>
      </c>
      <c r="C7" s="3" t="s">
        <v>30</v>
      </c>
      <c r="D7" s="3" cm="1">
        <f t="array" ref="D7">VLOOKUP($C7,BD!$C:$X,BD!G$1-1,FALSE)</f>
        <v>39</v>
      </c>
      <c r="E7" s="18">
        <f t="shared" si="42"/>
        <v>1715.3846410256408</v>
      </c>
      <c r="F7" s="18">
        <f t="shared" si="43"/>
        <v>66900.000999999989</v>
      </c>
      <c r="G7" s="38">
        <v>7673.1660000000002</v>
      </c>
      <c r="H7" s="38">
        <v>7301.3059999999996</v>
      </c>
      <c r="I7" s="38">
        <v>6688.2380000000003</v>
      </c>
      <c r="J7" s="38">
        <v>6153.5619999999999</v>
      </c>
      <c r="K7" s="38">
        <v>4816.8720000000003</v>
      </c>
      <c r="L7" s="38">
        <v>3391.7420000000002</v>
      </c>
      <c r="M7" s="38">
        <v>2770.634</v>
      </c>
      <c r="N7" s="38">
        <v>2525.4050000000002</v>
      </c>
      <c r="O7" s="38">
        <v>4067.1210000000001</v>
      </c>
      <c r="P7" s="38">
        <v>6330.4470000000001</v>
      </c>
      <c r="Q7" s="38">
        <v>7325.4260000000004</v>
      </c>
      <c r="R7" s="38">
        <v>7856.0820000000003</v>
      </c>
      <c r="S7" s="19">
        <f t="shared" si="44"/>
        <v>1.0000000000000002</v>
      </c>
      <c r="T7" s="16">
        <f t="shared" si="45"/>
        <v>0.11469605209721898</v>
      </c>
      <c r="U7" s="16">
        <f t="shared" si="46"/>
        <v>0.10913760673934819</v>
      </c>
      <c r="V7" s="16">
        <f t="shared" si="47"/>
        <v>9.9973660687987159E-2</v>
      </c>
      <c r="W7" s="16">
        <f t="shared" si="48"/>
        <v>9.1981493393400712E-2</v>
      </c>
      <c r="X7" s="16">
        <f t="shared" si="49"/>
        <v>7.2001075156934616E-2</v>
      </c>
      <c r="Y7" s="16">
        <f t="shared" si="50"/>
        <v>5.0698683846058551E-2</v>
      </c>
      <c r="Z7" s="16">
        <f t="shared" si="51"/>
        <v>4.1414558424296595E-2</v>
      </c>
      <c r="AA7" s="16">
        <f t="shared" si="52"/>
        <v>3.7748953097922984E-2</v>
      </c>
      <c r="AB7" s="16">
        <f t="shared" si="53"/>
        <v>6.0794034965709502E-2</v>
      </c>
      <c r="AC7" s="16">
        <f t="shared" si="54"/>
        <v>9.4625514280635079E-2</v>
      </c>
      <c r="AD7" s="16">
        <f t="shared" si="55"/>
        <v>0.10949814485055093</v>
      </c>
      <c r="AE7" s="16">
        <f t="shared" si="56"/>
        <v>0.11743022245993691</v>
      </c>
      <c r="AF7" s="16">
        <f t="shared" si="57"/>
        <v>0.11469605209721898</v>
      </c>
      <c r="AG7" s="16">
        <f t="shared" si="58"/>
        <v>0.22383365883656717</v>
      </c>
      <c r="AH7" s="16">
        <f t="shared" si="59"/>
        <v>0.32380731952455433</v>
      </c>
      <c r="AI7" s="16">
        <f t="shared" si="60"/>
        <v>0.41578881291795505</v>
      </c>
      <c r="AJ7" s="16">
        <f t="shared" si="61"/>
        <v>0.48778988807488965</v>
      </c>
      <c r="AK7" s="16">
        <f t="shared" si="62"/>
        <v>0.53848857192094823</v>
      </c>
      <c r="AL7" s="16">
        <f t="shared" si="63"/>
        <v>0.57990313034524488</v>
      </c>
      <c r="AM7" s="16">
        <f t="shared" si="64"/>
        <v>0.61765208344316791</v>
      </c>
      <c r="AN7" s="16">
        <f t="shared" si="65"/>
        <v>0.67844611840887736</v>
      </c>
      <c r="AO7" s="16">
        <f t="shared" si="66"/>
        <v>0.7730716326895124</v>
      </c>
      <c r="AP7" s="16">
        <f t="shared" si="67"/>
        <v>0.88256977754006338</v>
      </c>
      <c r="AQ7" s="16">
        <f t="shared" si="68"/>
        <v>1.0000000000000002</v>
      </c>
    </row>
    <row r="8" spans="2:44" x14ac:dyDescent="0.25">
      <c r="B8" s="3" t="s">
        <v>33</v>
      </c>
      <c r="C8" s="3" t="str">
        <f>B8</f>
        <v xml:space="preserve">Plouguin </v>
      </c>
      <c r="D8" s="3" cm="1">
        <f t="array" ref="D8">VLOOKUP($C8,BD!$C:$X,BD!G$1-1,FALSE)</f>
        <v>8</v>
      </c>
      <c r="E8" s="18">
        <f t="shared" si="42"/>
        <v>2317.6248749999995</v>
      </c>
      <c r="F8" s="18">
        <f t="shared" si="43"/>
        <v>18540.998999999996</v>
      </c>
      <c r="G8" s="38">
        <v>2213.5880000000002</v>
      </c>
      <c r="H8" s="38">
        <v>2011.0309999999999</v>
      </c>
      <c r="I8" s="38">
        <v>1693.954</v>
      </c>
      <c r="J8" s="38">
        <v>1481.326</v>
      </c>
      <c r="K8" s="38">
        <v>1257.134</v>
      </c>
      <c r="L8" s="38">
        <v>1045.624</v>
      </c>
      <c r="M8" s="38">
        <v>976.61400000000003</v>
      </c>
      <c r="N8" s="38">
        <v>922.524</v>
      </c>
      <c r="O8" s="38">
        <v>1208.2660000000001</v>
      </c>
      <c r="P8" s="38">
        <v>1622.7049999999999</v>
      </c>
      <c r="Q8" s="38">
        <v>1935.6790000000001</v>
      </c>
      <c r="R8" s="38">
        <v>2172.5540000000001</v>
      </c>
      <c r="S8" s="19">
        <f t="shared" si="44"/>
        <v>1</v>
      </c>
      <c r="T8" s="16">
        <f t="shared" si="45"/>
        <v>0.11938882041900767</v>
      </c>
      <c r="U8" s="16">
        <f t="shared" si="46"/>
        <v>0.10846400455552586</v>
      </c>
      <c r="V8" s="16">
        <f t="shared" si="47"/>
        <v>9.1362606729011753E-2</v>
      </c>
      <c r="W8" s="16">
        <f t="shared" si="48"/>
        <v>7.9894616250181572E-2</v>
      </c>
      <c r="X8" s="16">
        <f t="shared" si="49"/>
        <v>6.7802926908091643E-2</v>
      </c>
      <c r="Y8" s="16">
        <f t="shared" si="50"/>
        <v>5.6395235229773771E-2</v>
      </c>
      <c r="Z8" s="16">
        <f t="shared" si="51"/>
        <v>5.2673213563087955E-2</v>
      </c>
      <c r="AA8" s="16">
        <f t="shared" si="52"/>
        <v>4.9755895030251615E-2</v>
      </c>
      <c r="AB8" s="16">
        <f t="shared" si="53"/>
        <v>6.5167254472102629E-2</v>
      </c>
      <c r="AC8" s="16">
        <f t="shared" si="54"/>
        <v>8.7519825657722122E-2</v>
      </c>
      <c r="AD8" s="16">
        <f t="shared" si="55"/>
        <v>0.10439993012242763</v>
      </c>
      <c r="AE8" s="16">
        <f t="shared" si="56"/>
        <v>0.11717567106281601</v>
      </c>
      <c r="AF8" s="16">
        <f t="shared" si="57"/>
        <v>0.11938882041900767</v>
      </c>
      <c r="AG8" s="16">
        <f t="shared" si="58"/>
        <v>0.22785282497453352</v>
      </c>
      <c r="AH8" s="16">
        <f t="shared" si="59"/>
        <v>0.31921543170354527</v>
      </c>
      <c r="AI8" s="16">
        <f t="shared" si="60"/>
        <v>0.39911004795372684</v>
      </c>
      <c r="AJ8" s="16">
        <f t="shared" si="61"/>
        <v>0.46691297486181849</v>
      </c>
      <c r="AK8" s="16">
        <f t="shared" si="62"/>
        <v>0.52330821009159223</v>
      </c>
      <c r="AL8" s="16">
        <f t="shared" si="63"/>
        <v>0.57598142365468019</v>
      </c>
      <c r="AM8" s="16">
        <f t="shared" si="64"/>
        <v>0.62573731868493176</v>
      </c>
      <c r="AN8" s="16">
        <f t="shared" si="65"/>
        <v>0.69090457315703435</v>
      </c>
      <c r="AO8" s="16">
        <f t="shared" si="66"/>
        <v>0.77842439881475645</v>
      </c>
      <c r="AP8" s="16">
        <f t="shared" si="67"/>
        <v>0.8828243289371841</v>
      </c>
      <c r="AQ8" s="16">
        <f t="shared" si="68"/>
        <v>1</v>
      </c>
    </row>
    <row r="9" spans="2:44" x14ac:dyDescent="0.25">
      <c r="B9" s="3" t="s">
        <v>31</v>
      </c>
      <c r="C9" s="3" t="s">
        <v>32</v>
      </c>
      <c r="D9" s="3" cm="1">
        <f t="array" ref="D9">VLOOKUP($C9,BD!$C:$X,BD!G$1-1,FALSE)</f>
        <v>18</v>
      </c>
      <c r="E9" s="18">
        <f t="shared" si="42"/>
        <v>3033.3333333333335</v>
      </c>
      <c r="F9" s="18">
        <f t="shared" si="43"/>
        <v>54600</v>
      </c>
      <c r="G9" s="32">
        <v>4500</v>
      </c>
      <c r="H9" s="32">
        <v>3700</v>
      </c>
      <c r="I9" s="32">
        <v>6000</v>
      </c>
      <c r="J9" s="32">
        <v>4600</v>
      </c>
      <c r="K9" s="32">
        <v>4900</v>
      </c>
      <c r="L9" s="32">
        <v>3900</v>
      </c>
      <c r="M9" s="32">
        <v>3600</v>
      </c>
      <c r="N9" s="32">
        <v>4100</v>
      </c>
      <c r="O9" s="32">
        <v>4300</v>
      </c>
      <c r="P9" s="32">
        <v>5500</v>
      </c>
      <c r="Q9" s="32">
        <v>4900</v>
      </c>
      <c r="R9" s="32">
        <v>4600</v>
      </c>
      <c r="S9" s="19">
        <f t="shared" si="44"/>
        <v>0.99999999999999989</v>
      </c>
      <c r="T9" s="16">
        <f t="shared" si="45"/>
        <v>8.2417582417582416E-2</v>
      </c>
      <c r="U9" s="16">
        <f t="shared" si="46"/>
        <v>6.7765567765567761E-2</v>
      </c>
      <c r="V9" s="16">
        <f t="shared" si="47"/>
        <v>0.10989010989010989</v>
      </c>
      <c r="W9" s="16">
        <f t="shared" si="48"/>
        <v>8.4249084249084255E-2</v>
      </c>
      <c r="X9" s="16">
        <f t="shared" si="49"/>
        <v>8.9743589743589744E-2</v>
      </c>
      <c r="Y9" s="16">
        <f t="shared" si="50"/>
        <v>7.1428571428571425E-2</v>
      </c>
      <c r="Z9" s="16">
        <f t="shared" si="51"/>
        <v>6.5934065934065936E-2</v>
      </c>
      <c r="AA9" s="16">
        <f t="shared" si="52"/>
        <v>7.5091575091575088E-2</v>
      </c>
      <c r="AB9" s="16">
        <f t="shared" si="53"/>
        <v>7.8754578754578752E-2</v>
      </c>
      <c r="AC9" s="16">
        <f t="shared" si="54"/>
        <v>0.10073260073260074</v>
      </c>
      <c r="AD9" s="16">
        <f t="shared" si="55"/>
        <v>8.9743589743589744E-2</v>
      </c>
      <c r="AE9" s="16">
        <f t="shared" si="56"/>
        <v>8.4249084249084255E-2</v>
      </c>
      <c r="AF9" s="16">
        <f t="shared" si="57"/>
        <v>8.2417582417582416E-2</v>
      </c>
      <c r="AG9" s="16">
        <f t="shared" si="58"/>
        <v>0.15018315018315018</v>
      </c>
      <c r="AH9" s="16">
        <f t="shared" si="59"/>
        <v>0.26007326007326004</v>
      </c>
      <c r="AI9" s="16">
        <f t="shared" si="60"/>
        <v>0.34432234432234432</v>
      </c>
      <c r="AJ9" s="16">
        <f t="shared" si="61"/>
        <v>0.43406593406593408</v>
      </c>
      <c r="AK9" s="16">
        <f t="shared" si="62"/>
        <v>0.50549450549450547</v>
      </c>
      <c r="AL9" s="16">
        <f t="shared" si="63"/>
        <v>0.5714285714285714</v>
      </c>
      <c r="AM9" s="16">
        <f t="shared" si="64"/>
        <v>0.64652014652014644</v>
      </c>
      <c r="AN9" s="16">
        <f t="shared" si="65"/>
        <v>0.72527472527472514</v>
      </c>
      <c r="AO9" s="16">
        <f t="shared" si="66"/>
        <v>0.82600732600732585</v>
      </c>
      <c r="AP9" s="16">
        <f t="shared" si="67"/>
        <v>0.91575091575091561</v>
      </c>
      <c r="AQ9" s="16">
        <f t="shared" si="68"/>
        <v>0.99999999999999989</v>
      </c>
    </row>
    <row r="10" spans="2:44" x14ac:dyDescent="0.25">
      <c r="B10" s="3" t="s">
        <v>36</v>
      </c>
      <c r="C10" s="3" t="str">
        <f>B10</f>
        <v xml:space="preserve">La Citadelle </v>
      </c>
      <c r="D10" s="3" cm="1">
        <f t="array" ref="D10">VLOOKUP($C10,BD!$C:$X,BD!G$1-1,FALSE)</f>
        <v>13.8</v>
      </c>
      <c r="E10" s="18">
        <f t="shared" si="42"/>
        <v>2144.9274637681156</v>
      </c>
      <c r="F10" s="18">
        <f t="shared" si="43"/>
        <v>29599.998999999996</v>
      </c>
      <c r="G10" s="38">
        <v>2964.8490000000002</v>
      </c>
      <c r="H10" s="38">
        <v>2958.51</v>
      </c>
      <c r="I10" s="38">
        <v>2764.12</v>
      </c>
      <c r="J10" s="38">
        <v>2644.3879999999999</v>
      </c>
      <c r="K10" s="38">
        <v>2251.3820000000001</v>
      </c>
      <c r="L10" s="38">
        <v>1975.2929999999999</v>
      </c>
      <c r="M10" s="38">
        <v>1854.856</v>
      </c>
      <c r="N10" s="38">
        <v>1713.289</v>
      </c>
      <c r="O10" s="38">
        <v>2101.364</v>
      </c>
      <c r="P10" s="38">
        <v>2441.5459999999998</v>
      </c>
      <c r="Q10" s="38">
        <v>2959.2139999999999</v>
      </c>
      <c r="R10" s="38">
        <v>2971.1880000000001</v>
      </c>
      <c r="S10" s="19">
        <f t="shared" si="44"/>
        <v>1</v>
      </c>
      <c r="T10" s="16">
        <f t="shared" si="45"/>
        <v>0.10016382095148045</v>
      </c>
      <c r="U10" s="16">
        <f t="shared" si="46"/>
        <v>9.9949665538840077E-2</v>
      </c>
      <c r="V10" s="16">
        <f t="shared" si="47"/>
        <v>9.3382435587244447E-2</v>
      </c>
      <c r="W10" s="16">
        <f t="shared" si="48"/>
        <v>8.9337435450589045E-2</v>
      </c>
      <c r="X10" s="16">
        <f t="shared" si="49"/>
        <v>7.606020527230424E-2</v>
      </c>
      <c r="Y10" s="16">
        <f t="shared" si="50"/>
        <v>6.6732873876110613E-2</v>
      </c>
      <c r="Z10" s="16">
        <f t="shared" si="51"/>
        <v>6.2664056171082991E-2</v>
      </c>
      <c r="AA10" s="16">
        <f t="shared" si="52"/>
        <v>5.7881387090587412E-2</v>
      </c>
      <c r="AB10" s="16">
        <f t="shared" si="53"/>
        <v>7.0992029425406417E-2</v>
      </c>
      <c r="AC10" s="16">
        <f t="shared" si="54"/>
        <v>8.2484664948806255E-2</v>
      </c>
      <c r="AD10" s="16">
        <f t="shared" si="55"/>
        <v>9.9973449323427346E-2</v>
      </c>
      <c r="AE10" s="16">
        <f t="shared" si="56"/>
        <v>0.10037797636412084</v>
      </c>
      <c r="AF10" s="16">
        <f t="shared" si="57"/>
        <v>0.10016382095148045</v>
      </c>
      <c r="AG10" s="16">
        <f t="shared" si="58"/>
        <v>0.20011348649032051</v>
      </c>
      <c r="AH10" s="16">
        <f t="shared" si="59"/>
        <v>0.29349592207756497</v>
      </c>
      <c r="AI10" s="16">
        <f t="shared" si="60"/>
        <v>0.38283335752815401</v>
      </c>
      <c r="AJ10" s="16">
        <f t="shared" si="61"/>
        <v>0.45889356280045823</v>
      </c>
      <c r="AK10" s="16">
        <f t="shared" si="62"/>
        <v>0.52562643667656883</v>
      </c>
      <c r="AL10" s="16">
        <f t="shared" si="63"/>
        <v>0.58829049284765178</v>
      </c>
      <c r="AM10" s="16">
        <f t="shared" si="64"/>
        <v>0.64617187993823921</v>
      </c>
      <c r="AN10" s="16">
        <f t="shared" si="65"/>
        <v>0.7171639093636456</v>
      </c>
      <c r="AO10" s="16">
        <f t="shared" si="66"/>
        <v>0.79964857431245184</v>
      </c>
      <c r="AP10" s="16">
        <f t="shared" si="67"/>
        <v>0.89962202363587918</v>
      </c>
      <c r="AQ10" s="16">
        <f t="shared" si="68"/>
        <v>1</v>
      </c>
    </row>
    <row r="11" spans="2:44" x14ac:dyDescent="0.25">
      <c r="B11" s="3" t="s">
        <v>42</v>
      </c>
      <c r="C11" s="3" t="s">
        <v>42</v>
      </c>
      <c r="D11" s="3" cm="1">
        <f t="array" ref="D11">VLOOKUP($C11,BD!$C:$X,BD!G$1-1,FALSE)</f>
        <v>4.5999999999999996</v>
      </c>
      <c r="E11" s="18">
        <f t="shared" si="42"/>
        <v>2304.347826086957</v>
      </c>
      <c r="F11" s="18">
        <f t="shared" si="43"/>
        <v>10600.000000000002</v>
      </c>
      <c r="G11" s="38">
        <v>1030.442</v>
      </c>
      <c r="H11" s="38">
        <v>1042.2380000000001</v>
      </c>
      <c r="I11" s="38">
        <v>1064.548</v>
      </c>
      <c r="J11" s="38">
        <v>987.61699999999996</v>
      </c>
      <c r="K11" s="38">
        <v>921.97</v>
      </c>
      <c r="L11" s="38">
        <v>691.43399999999997</v>
      </c>
      <c r="M11" s="38">
        <v>595.78300000000002</v>
      </c>
      <c r="N11" s="38">
        <v>588.34699999999998</v>
      </c>
      <c r="O11" s="38">
        <v>743.49</v>
      </c>
      <c r="P11" s="38">
        <v>979.41099999999994</v>
      </c>
      <c r="Q11" s="38">
        <v>966.33299999999997</v>
      </c>
      <c r="R11" s="38">
        <v>988.38699999999994</v>
      </c>
      <c r="S11" s="19">
        <f t="shared" si="44"/>
        <v>0.99999999999999989</v>
      </c>
      <c r="T11" s="16">
        <f t="shared" si="45"/>
        <v>9.7211509433962243E-2</v>
      </c>
      <c r="U11" s="16">
        <f t="shared" si="46"/>
        <v>9.8324339622641505E-2</v>
      </c>
      <c r="V11" s="16">
        <f t="shared" si="47"/>
        <v>0.10042905660377356</v>
      </c>
      <c r="W11" s="16">
        <f t="shared" si="48"/>
        <v>9.3171415094339599E-2</v>
      </c>
      <c r="X11" s="16">
        <f t="shared" si="49"/>
        <v>8.6978301886792439E-2</v>
      </c>
      <c r="Y11" s="16">
        <f t="shared" si="50"/>
        <v>6.5229622641509416E-2</v>
      </c>
      <c r="Z11" s="16">
        <f t="shared" si="51"/>
        <v>5.6205943396226407E-2</v>
      </c>
      <c r="AA11" s="16">
        <f t="shared" si="52"/>
        <v>5.5504433962264142E-2</v>
      </c>
      <c r="AB11" s="16">
        <f t="shared" si="53"/>
        <v>7.0140566037735844E-2</v>
      </c>
      <c r="AC11" s="16">
        <f t="shared" si="54"/>
        <v>9.2397264150943376E-2</v>
      </c>
      <c r="AD11" s="16">
        <f t="shared" si="55"/>
        <v>9.1163490566037717E-2</v>
      </c>
      <c r="AE11" s="16">
        <f t="shared" si="56"/>
        <v>9.3244056603773565E-2</v>
      </c>
      <c r="AF11" s="16">
        <f t="shared" si="57"/>
        <v>9.7211509433962243E-2</v>
      </c>
      <c r="AG11" s="16">
        <f t="shared" si="58"/>
        <v>0.19553584905660376</v>
      </c>
      <c r="AH11" s="16">
        <f t="shared" si="59"/>
        <v>0.29596490566037731</v>
      </c>
      <c r="AI11" s="16">
        <f t="shared" si="60"/>
        <v>0.38913632075471694</v>
      </c>
      <c r="AJ11" s="16">
        <f t="shared" si="61"/>
        <v>0.47611462264150939</v>
      </c>
      <c r="AK11" s="16">
        <f t="shared" si="62"/>
        <v>0.54134424528301883</v>
      </c>
      <c r="AL11" s="16">
        <f t="shared" si="63"/>
        <v>0.59755018867924525</v>
      </c>
      <c r="AM11" s="16">
        <f t="shared" si="64"/>
        <v>0.65305462264150937</v>
      </c>
      <c r="AN11" s="16">
        <f t="shared" si="65"/>
        <v>0.72319518867924526</v>
      </c>
      <c r="AO11" s="16">
        <f t="shared" si="66"/>
        <v>0.81559245283018866</v>
      </c>
      <c r="AP11" s="16">
        <f t="shared" si="67"/>
        <v>0.90675594339622634</v>
      </c>
      <c r="AQ11" s="16">
        <f t="shared" si="68"/>
        <v>0.99999999999999989</v>
      </c>
    </row>
    <row r="12" spans="2:44" x14ac:dyDescent="0.25">
      <c r="B12" s="3" t="s">
        <v>40</v>
      </c>
      <c r="C12" s="3" t="str">
        <f>B12</f>
        <v>Coat Conval</v>
      </c>
      <c r="D12" s="3" cm="1">
        <f t="array" ref="D12">VLOOKUP($C12,BD!$C:$X,BD!G$1-1,FALSE)</f>
        <v>8.1</v>
      </c>
      <c r="E12" s="18">
        <f t="shared" si="42"/>
        <v>1148.1482716049384</v>
      </c>
      <c r="F12" s="18">
        <f t="shared" si="43"/>
        <v>9300.0010000000002</v>
      </c>
      <c r="G12" s="38">
        <v>1221.0039999999999</v>
      </c>
      <c r="H12" s="38">
        <v>1081.4570000000001</v>
      </c>
      <c r="I12" s="38">
        <v>885.67899999999997</v>
      </c>
      <c r="J12" s="38">
        <v>717.75800000000004</v>
      </c>
      <c r="K12" s="38">
        <v>580.79100000000005</v>
      </c>
      <c r="L12" s="38">
        <v>430.411</v>
      </c>
      <c r="M12" s="38">
        <v>384.49700000000001</v>
      </c>
      <c r="N12" s="38">
        <v>355.34899999999999</v>
      </c>
      <c r="O12" s="38">
        <v>567.89400000000001</v>
      </c>
      <c r="P12" s="38">
        <v>854.98400000000004</v>
      </c>
      <c r="Q12" s="38">
        <v>1032.19</v>
      </c>
      <c r="R12" s="38">
        <v>1187.9870000000001</v>
      </c>
      <c r="S12" s="19">
        <f t="shared" si="44"/>
        <v>0.99999999999999989</v>
      </c>
      <c r="T12" s="16">
        <f t="shared" si="45"/>
        <v>0.1312907385708883</v>
      </c>
      <c r="U12" s="16">
        <f t="shared" si="46"/>
        <v>0.11628568642089394</v>
      </c>
      <c r="V12" s="16">
        <f t="shared" si="47"/>
        <v>9.5234290835022481E-2</v>
      </c>
      <c r="W12" s="16">
        <f t="shared" si="48"/>
        <v>7.7178271271153634E-2</v>
      </c>
      <c r="X12" s="16">
        <f t="shared" si="49"/>
        <v>6.2450638446167911E-2</v>
      </c>
      <c r="Y12" s="16">
        <f t="shared" si="50"/>
        <v>4.6280747711747554E-2</v>
      </c>
      <c r="Z12" s="16">
        <f t="shared" si="51"/>
        <v>4.134375899529473E-2</v>
      </c>
      <c r="AA12" s="16">
        <f t="shared" si="52"/>
        <v>3.8209565783917654E-2</v>
      </c>
      <c r="AB12" s="16">
        <f t="shared" si="53"/>
        <v>6.1063864401735009E-2</v>
      </c>
      <c r="AC12" s="16">
        <f t="shared" si="54"/>
        <v>9.1933753555510367E-2</v>
      </c>
      <c r="AD12" s="16">
        <f t="shared" si="55"/>
        <v>0.11098816010879999</v>
      </c>
      <c r="AE12" s="16">
        <f t="shared" si="56"/>
        <v>0.12774052389886839</v>
      </c>
      <c r="AF12" s="16">
        <f t="shared" si="57"/>
        <v>0.1312907385708883</v>
      </c>
      <c r="AG12" s="16">
        <f t="shared" si="58"/>
        <v>0.24757642499178223</v>
      </c>
      <c r="AH12" s="16">
        <f t="shared" si="59"/>
        <v>0.34281071582680472</v>
      </c>
      <c r="AI12" s="16">
        <f t="shared" si="60"/>
        <v>0.41998898709795834</v>
      </c>
      <c r="AJ12" s="16">
        <f t="shared" si="61"/>
        <v>0.48243962554412623</v>
      </c>
      <c r="AK12" s="16">
        <f t="shared" si="62"/>
        <v>0.52872037325587373</v>
      </c>
      <c r="AL12" s="16">
        <f t="shared" si="63"/>
        <v>0.57006413225116848</v>
      </c>
      <c r="AM12" s="16">
        <f t="shared" si="64"/>
        <v>0.60827369803508613</v>
      </c>
      <c r="AN12" s="16">
        <f t="shared" si="65"/>
        <v>0.66933756243682119</v>
      </c>
      <c r="AO12" s="16">
        <f t="shared" si="66"/>
        <v>0.76127131599233155</v>
      </c>
      <c r="AP12" s="16">
        <f t="shared" si="67"/>
        <v>0.87225947610113153</v>
      </c>
      <c r="AQ12" s="16">
        <f t="shared" si="68"/>
        <v>0.99999999999999989</v>
      </c>
    </row>
    <row r="13" spans="2:44" x14ac:dyDescent="0.25">
      <c r="B13" s="3" t="s">
        <v>47</v>
      </c>
      <c r="C13" s="3" t="s">
        <v>48</v>
      </c>
      <c r="D13" s="3" cm="1">
        <f t="array" ref="D13">VLOOKUP($C13,BD!$C:$X,BD!G$1-1,FALSE)</f>
        <v>9.1999999999999993</v>
      </c>
      <c r="E13" s="18">
        <f t="shared" si="42"/>
        <v>2746.0870144927535</v>
      </c>
      <c r="F13" s="18">
        <f t="shared" si="43"/>
        <v>25264.000533333332</v>
      </c>
      <c r="G13" s="38">
        <v>2960.9888000000001</v>
      </c>
      <c r="H13" s="38">
        <v>2650.6474666666668</v>
      </c>
      <c r="I13" s="38">
        <v>2288.2130666666667</v>
      </c>
      <c r="J13" s="38">
        <v>1828.7970666666665</v>
      </c>
      <c r="K13" s="38">
        <v>1709.6482666666664</v>
      </c>
      <c r="L13" s="38">
        <v>1496.8426666666664</v>
      </c>
      <c r="M13" s="38">
        <v>1479.1088</v>
      </c>
      <c r="N13" s="38">
        <v>1468.5794666666666</v>
      </c>
      <c r="O13" s="38">
        <v>1725.1653333333334</v>
      </c>
      <c r="P13" s="38">
        <v>2321.4639999999995</v>
      </c>
      <c r="Q13" s="38">
        <v>2485.5013333333332</v>
      </c>
      <c r="R13" s="38">
        <v>2849.0442666666663</v>
      </c>
      <c r="S13" s="19">
        <f t="shared" si="44"/>
        <v>1</v>
      </c>
      <c r="T13" s="16">
        <f t="shared" si="45"/>
        <v>0.11720189746248898</v>
      </c>
      <c r="U13" s="16">
        <f t="shared" si="46"/>
        <v>0.10491796274186274</v>
      </c>
      <c r="V13" s="16">
        <f t="shared" si="47"/>
        <v>9.0572079574159192E-2</v>
      </c>
      <c r="W13" s="16">
        <f t="shared" si="48"/>
        <v>7.2387469445060804E-2</v>
      </c>
      <c r="X13" s="16">
        <f t="shared" si="49"/>
        <v>6.7671320082936026E-2</v>
      </c>
      <c r="Y13" s="16">
        <f t="shared" si="50"/>
        <v>5.9248046036562245E-2</v>
      </c>
      <c r="Z13" s="16">
        <f t="shared" si="51"/>
        <v>5.8546103893896903E-2</v>
      </c>
      <c r="AA13" s="16">
        <f t="shared" si="52"/>
        <v>5.8129331683991307E-2</v>
      </c>
      <c r="AB13" s="16">
        <f t="shared" si="53"/>
        <v>6.8285516818967357E-2</v>
      </c>
      <c r="AC13" s="16">
        <f t="shared" si="54"/>
        <v>9.188821845285583E-2</v>
      </c>
      <c r="AD13" s="16">
        <f t="shared" si="55"/>
        <v>9.8381146329298161E-2</v>
      </c>
      <c r="AE13" s="16">
        <f t="shared" si="56"/>
        <v>0.11277090747792046</v>
      </c>
      <c r="AF13" s="16">
        <f t="shared" si="57"/>
        <v>0.11720189746248898</v>
      </c>
      <c r="AG13" s="16">
        <f t="shared" si="58"/>
        <v>0.2221198602043517</v>
      </c>
      <c r="AH13" s="16">
        <f t="shared" si="59"/>
        <v>0.3126919397785109</v>
      </c>
      <c r="AI13" s="16">
        <f t="shared" si="60"/>
        <v>0.3850794092235717</v>
      </c>
      <c r="AJ13" s="16">
        <f t="shared" si="61"/>
        <v>0.45275072930650773</v>
      </c>
      <c r="AK13" s="16">
        <f t="shared" si="62"/>
        <v>0.51199877534306992</v>
      </c>
      <c r="AL13" s="16">
        <f t="shared" si="63"/>
        <v>0.57054487923696684</v>
      </c>
      <c r="AM13" s="16">
        <f t="shared" si="64"/>
        <v>0.6286742109209581</v>
      </c>
      <c r="AN13" s="16">
        <f t="shared" si="65"/>
        <v>0.69695972773992543</v>
      </c>
      <c r="AO13" s="16">
        <f t="shared" si="66"/>
        <v>0.78884794619278131</v>
      </c>
      <c r="AP13" s="16">
        <f t="shared" si="67"/>
        <v>0.88722909252207949</v>
      </c>
      <c r="AQ13" s="16">
        <f t="shared" si="68"/>
        <v>1</v>
      </c>
    </row>
    <row r="14" spans="2:44" x14ac:dyDescent="0.25">
      <c r="B14" s="3" t="s">
        <v>47</v>
      </c>
      <c r="C14" s="3" t="s">
        <v>50</v>
      </c>
      <c r="D14" s="3" cm="1">
        <f t="array" ref="D14">VLOOKUP($C14,BD!$C:$X,BD!G$1-1,FALSE)</f>
        <v>9.1999999999999993</v>
      </c>
      <c r="E14" s="18">
        <f t="shared" si="42"/>
        <v>2746.0870144927535</v>
      </c>
      <c r="F14" s="18">
        <f t="shared" si="43"/>
        <v>25264.000533333332</v>
      </c>
      <c r="G14" s="38">
        <v>2960.9888000000001</v>
      </c>
      <c r="H14" s="38">
        <v>2650.6474666666668</v>
      </c>
      <c r="I14" s="38">
        <v>2288.2130666666667</v>
      </c>
      <c r="J14" s="38">
        <v>1828.7970666666665</v>
      </c>
      <c r="K14" s="38">
        <v>1709.6482666666664</v>
      </c>
      <c r="L14" s="38">
        <v>1496.8426666666664</v>
      </c>
      <c r="M14" s="38">
        <v>1479.1088</v>
      </c>
      <c r="N14" s="38">
        <v>1468.5794666666666</v>
      </c>
      <c r="O14" s="38">
        <v>1725.1653333333334</v>
      </c>
      <c r="P14" s="38">
        <v>2321.4639999999995</v>
      </c>
      <c r="Q14" s="38">
        <v>2485.5013333333332</v>
      </c>
      <c r="R14" s="38">
        <v>2849.0442666666663</v>
      </c>
      <c r="S14" s="19">
        <f t="shared" si="44"/>
        <v>1</v>
      </c>
      <c r="T14" s="16">
        <f t="shared" si="45"/>
        <v>0.11720189746248898</v>
      </c>
      <c r="U14" s="16">
        <f t="shared" si="46"/>
        <v>0.10491796274186274</v>
      </c>
      <c r="V14" s="16">
        <f t="shared" si="47"/>
        <v>9.0572079574159192E-2</v>
      </c>
      <c r="W14" s="16">
        <f t="shared" si="48"/>
        <v>7.2387469445060804E-2</v>
      </c>
      <c r="X14" s="16">
        <f t="shared" si="49"/>
        <v>6.7671320082936026E-2</v>
      </c>
      <c r="Y14" s="16">
        <f t="shared" si="50"/>
        <v>5.9248046036562245E-2</v>
      </c>
      <c r="Z14" s="16">
        <f t="shared" si="51"/>
        <v>5.8546103893896903E-2</v>
      </c>
      <c r="AA14" s="16">
        <f t="shared" si="52"/>
        <v>5.8129331683991307E-2</v>
      </c>
      <c r="AB14" s="16">
        <f t="shared" si="53"/>
        <v>6.8285516818967357E-2</v>
      </c>
      <c r="AC14" s="16">
        <f t="shared" si="54"/>
        <v>9.188821845285583E-2</v>
      </c>
      <c r="AD14" s="16">
        <f t="shared" si="55"/>
        <v>9.8381146329298161E-2</v>
      </c>
      <c r="AE14" s="16">
        <f t="shared" si="56"/>
        <v>0.11277090747792046</v>
      </c>
      <c r="AF14" s="16">
        <f t="shared" si="57"/>
        <v>0.11720189746248898</v>
      </c>
      <c r="AG14" s="16">
        <f t="shared" si="58"/>
        <v>0.2221198602043517</v>
      </c>
      <c r="AH14" s="16">
        <f t="shared" si="59"/>
        <v>0.3126919397785109</v>
      </c>
      <c r="AI14" s="16">
        <f t="shared" si="60"/>
        <v>0.3850794092235717</v>
      </c>
      <c r="AJ14" s="16">
        <f t="shared" si="61"/>
        <v>0.45275072930650773</v>
      </c>
      <c r="AK14" s="16">
        <f t="shared" si="62"/>
        <v>0.51199877534306992</v>
      </c>
      <c r="AL14" s="16">
        <f t="shared" si="63"/>
        <v>0.57054487923696684</v>
      </c>
      <c r="AM14" s="16">
        <f t="shared" si="64"/>
        <v>0.6286742109209581</v>
      </c>
      <c r="AN14" s="16">
        <f t="shared" si="65"/>
        <v>0.69695972773992543</v>
      </c>
      <c r="AO14" s="16">
        <f t="shared" si="66"/>
        <v>0.78884794619278131</v>
      </c>
      <c r="AP14" s="16">
        <f t="shared" si="67"/>
        <v>0.88722909252207949</v>
      </c>
      <c r="AQ14" s="16">
        <f t="shared" si="68"/>
        <v>1</v>
      </c>
    </row>
    <row r="15" spans="2:44" x14ac:dyDescent="0.25">
      <c r="B15" s="3" t="s">
        <v>47</v>
      </c>
      <c r="C15" s="3" t="s">
        <v>51</v>
      </c>
      <c r="D15" s="3" cm="1">
        <f t="array" ref="D15">VLOOKUP($C15,BD!$C:$X,BD!G$1-1,FALSE)</f>
        <v>4.5999999999999996</v>
      </c>
      <c r="E15" s="18">
        <f t="shared" si="42"/>
        <v>2746.0870144927535</v>
      </c>
      <c r="F15" s="18">
        <f t="shared" si="43"/>
        <v>12632.000266666666</v>
      </c>
      <c r="G15" s="38">
        <v>1480.4944</v>
      </c>
      <c r="H15" s="38">
        <v>1325.3237333333334</v>
      </c>
      <c r="I15" s="38">
        <v>1144.1065333333333</v>
      </c>
      <c r="J15" s="38">
        <v>914.39853333333326</v>
      </c>
      <c r="K15" s="38">
        <v>854.82413333333318</v>
      </c>
      <c r="L15" s="38">
        <v>748.42133333333322</v>
      </c>
      <c r="M15" s="38">
        <v>739.55439999999999</v>
      </c>
      <c r="N15" s="38">
        <v>734.28973333333329</v>
      </c>
      <c r="O15" s="38">
        <v>862.58266666666668</v>
      </c>
      <c r="P15" s="38">
        <v>1160.7319999999997</v>
      </c>
      <c r="Q15" s="38">
        <v>1242.7506666666666</v>
      </c>
      <c r="R15" s="38">
        <v>1424.5221333333332</v>
      </c>
      <c r="S15" s="19">
        <f t="shared" si="44"/>
        <v>1</v>
      </c>
      <c r="T15" s="16">
        <f t="shared" si="45"/>
        <v>0.11720189746248898</v>
      </c>
      <c r="U15" s="16">
        <f t="shared" si="46"/>
        <v>0.10491796274186274</v>
      </c>
      <c r="V15" s="16">
        <f t="shared" si="47"/>
        <v>9.0572079574159192E-2</v>
      </c>
      <c r="W15" s="16">
        <f t="shared" si="48"/>
        <v>7.2387469445060804E-2</v>
      </c>
      <c r="X15" s="16">
        <f t="shared" si="49"/>
        <v>6.7671320082936026E-2</v>
      </c>
      <c r="Y15" s="16">
        <f t="shared" si="50"/>
        <v>5.9248046036562245E-2</v>
      </c>
      <c r="Z15" s="16">
        <f t="shared" si="51"/>
        <v>5.8546103893896903E-2</v>
      </c>
      <c r="AA15" s="16">
        <f t="shared" si="52"/>
        <v>5.8129331683991307E-2</v>
      </c>
      <c r="AB15" s="16">
        <f t="shared" si="53"/>
        <v>6.8285516818967357E-2</v>
      </c>
      <c r="AC15" s="16">
        <f t="shared" si="54"/>
        <v>9.188821845285583E-2</v>
      </c>
      <c r="AD15" s="16">
        <f t="shared" si="55"/>
        <v>9.8381146329298161E-2</v>
      </c>
      <c r="AE15" s="16">
        <f t="shared" si="56"/>
        <v>0.11277090747792046</v>
      </c>
      <c r="AF15" s="16">
        <f t="shared" si="57"/>
        <v>0.11720189746248898</v>
      </c>
      <c r="AG15" s="16">
        <f t="shared" si="58"/>
        <v>0.2221198602043517</v>
      </c>
      <c r="AH15" s="16">
        <f t="shared" si="59"/>
        <v>0.3126919397785109</v>
      </c>
      <c r="AI15" s="16">
        <f t="shared" si="60"/>
        <v>0.3850794092235717</v>
      </c>
      <c r="AJ15" s="16">
        <f t="shared" si="61"/>
        <v>0.45275072930650773</v>
      </c>
      <c r="AK15" s="16">
        <f t="shared" si="62"/>
        <v>0.51199877534306992</v>
      </c>
      <c r="AL15" s="16">
        <f t="shared" si="63"/>
        <v>0.57054487923696684</v>
      </c>
      <c r="AM15" s="16">
        <f t="shared" si="64"/>
        <v>0.6286742109209581</v>
      </c>
      <c r="AN15" s="16">
        <f t="shared" si="65"/>
        <v>0.69695972773992543</v>
      </c>
      <c r="AO15" s="16">
        <f t="shared" si="66"/>
        <v>0.78884794619278131</v>
      </c>
      <c r="AP15" s="16">
        <f t="shared" si="67"/>
        <v>0.88722909252207949</v>
      </c>
      <c r="AQ15" s="16">
        <f t="shared" si="68"/>
        <v>1</v>
      </c>
    </row>
    <row r="16" spans="2:44" x14ac:dyDescent="0.25">
      <c r="B16" s="3" t="s">
        <v>44</v>
      </c>
      <c r="C16" s="3" t="str">
        <f>B16</f>
        <v>Les Eparmonts</v>
      </c>
      <c r="D16" s="3" cm="1">
        <f t="array" ref="D16">VLOOKUP($C16,BD!$C:$X,BD!G$1-1,FALSE)</f>
        <v>12</v>
      </c>
      <c r="E16" s="18">
        <f t="shared" si="42"/>
        <v>1669.1666666666667</v>
      </c>
      <c r="F16" s="18">
        <f t="shared" si="43"/>
        <v>20030</v>
      </c>
      <c r="G16" s="38">
        <v>2392.0259999999998</v>
      </c>
      <c r="H16" s="38">
        <v>2146.6590000000001</v>
      </c>
      <c r="I16" s="38">
        <v>1953.0440000000001</v>
      </c>
      <c r="J16" s="38">
        <v>1601.1279999999999</v>
      </c>
      <c r="K16" s="38">
        <v>1304.617</v>
      </c>
      <c r="L16" s="38">
        <v>1011.759</v>
      </c>
      <c r="M16" s="38">
        <v>961.83299999999997</v>
      </c>
      <c r="N16" s="38">
        <v>887.553</v>
      </c>
      <c r="O16" s="38">
        <v>1355.76</v>
      </c>
      <c r="P16" s="38">
        <v>1934.778</v>
      </c>
      <c r="Q16" s="38">
        <v>2015.7550000000001</v>
      </c>
      <c r="R16" s="38">
        <v>2465.0880000000002</v>
      </c>
      <c r="S16" s="19">
        <f t="shared" si="44"/>
        <v>1.0000000000000002</v>
      </c>
      <c r="T16" s="16">
        <f t="shared" si="45"/>
        <v>0.11942216674987519</v>
      </c>
      <c r="U16" s="16">
        <f t="shared" si="46"/>
        <v>0.10717219171243136</v>
      </c>
      <c r="V16" s="16">
        <f t="shared" si="47"/>
        <v>9.7505941088367451E-2</v>
      </c>
      <c r="W16" s="16">
        <f t="shared" si="48"/>
        <v>7.9936495257114326E-2</v>
      </c>
      <c r="X16" s="16">
        <f t="shared" si="49"/>
        <v>6.5133150274588117E-2</v>
      </c>
      <c r="Y16" s="16">
        <f t="shared" si="50"/>
        <v>5.0512181727408886E-2</v>
      </c>
      <c r="Z16" s="16">
        <f t="shared" si="51"/>
        <v>4.8019620569146278E-2</v>
      </c>
      <c r="AA16" s="16">
        <f t="shared" si="52"/>
        <v>4.4311183225162254E-2</v>
      </c>
      <c r="AB16" s="16">
        <f t="shared" si="53"/>
        <v>6.7686470294558168E-2</v>
      </c>
      <c r="AC16" s="16">
        <f t="shared" si="54"/>
        <v>9.6594008986520222E-2</v>
      </c>
      <c r="AD16" s="16">
        <f t="shared" si="55"/>
        <v>0.10063679480778832</v>
      </c>
      <c r="AE16" s="16">
        <f t="shared" si="56"/>
        <v>0.12306979530703945</v>
      </c>
      <c r="AF16" s="16">
        <f t="shared" si="57"/>
        <v>0.11942216674987519</v>
      </c>
      <c r="AG16" s="16">
        <f t="shared" si="58"/>
        <v>0.22659435846230655</v>
      </c>
      <c r="AH16" s="16">
        <f t="shared" si="59"/>
        <v>0.32410029955067399</v>
      </c>
      <c r="AI16" s="16">
        <f t="shared" si="60"/>
        <v>0.40403679480778831</v>
      </c>
      <c r="AJ16" s="16">
        <f t="shared" si="61"/>
        <v>0.46916994508237642</v>
      </c>
      <c r="AK16" s="16">
        <f t="shared" si="62"/>
        <v>0.51968212680978532</v>
      </c>
      <c r="AL16" s="16">
        <f t="shared" si="63"/>
        <v>0.56770174737893164</v>
      </c>
      <c r="AM16" s="16">
        <f t="shared" si="64"/>
        <v>0.6120129306040939</v>
      </c>
      <c r="AN16" s="16">
        <f t="shared" si="65"/>
        <v>0.67969940089865211</v>
      </c>
      <c r="AO16" s="16">
        <f t="shared" si="66"/>
        <v>0.77629340988517237</v>
      </c>
      <c r="AP16" s="16">
        <f t="shared" si="67"/>
        <v>0.87693020469296068</v>
      </c>
      <c r="AQ16" s="16">
        <f t="shared" si="68"/>
        <v>1.0000000000000002</v>
      </c>
    </row>
    <row r="17" spans="2:43" x14ac:dyDescent="0.25">
      <c r="B17" s="3" t="s">
        <v>52</v>
      </c>
      <c r="C17" s="3" t="s">
        <v>53</v>
      </c>
      <c r="D17" s="3" cm="1">
        <f t="array" ref="D17">VLOOKUP($C17,BD!$C:$X,BD!G$1-1,FALSE)</f>
        <v>10</v>
      </c>
      <c r="E17" s="18">
        <f t="shared" si="42"/>
        <v>2188.8888888888891</v>
      </c>
      <c r="F17" s="18">
        <f t="shared" si="43"/>
        <v>21888.888888888891</v>
      </c>
      <c r="G17" s="38">
        <v>2569.931111111111</v>
      </c>
      <c r="H17" s="38">
        <v>2389.6711111111113</v>
      </c>
      <c r="I17" s="38">
        <v>2086.6261111111112</v>
      </c>
      <c r="J17" s="38">
        <v>1809.0522222222221</v>
      </c>
      <c r="K17" s="38">
        <v>1552.3783333333331</v>
      </c>
      <c r="L17" s="38">
        <v>1246.0677777777778</v>
      </c>
      <c r="M17" s="38">
        <v>1142.8755555555554</v>
      </c>
      <c r="N17" s="38">
        <v>1030.54</v>
      </c>
      <c r="O17" s="38">
        <v>1423.0616666666667</v>
      </c>
      <c r="P17" s="38">
        <v>1875.017222222222</v>
      </c>
      <c r="Q17" s="38">
        <v>2186.5527777777775</v>
      </c>
      <c r="R17" s="38">
        <v>2577.1149999999998</v>
      </c>
      <c r="S17" s="19">
        <f t="shared" si="44"/>
        <v>0.99999999999999978</v>
      </c>
      <c r="T17" s="16">
        <f t="shared" si="45"/>
        <v>0.11740802030456851</v>
      </c>
      <c r="U17" s="16">
        <f t="shared" si="46"/>
        <v>0.10917279187817258</v>
      </c>
      <c r="V17" s="16">
        <f t="shared" si="47"/>
        <v>9.5328096446700497E-2</v>
      </c>
      <c r="W17" s="16">
        <f t="shared" si="48"/>
        <v>8.2647055837563446E-2</v>
      </c>
      <c r="X17" s="16">
        <f t="shared" si="49"/>
        <v>7.0920837563451758E-2</v>
      </c>
      <c r="Y17" s="16">
        <f t="shared" si="50"/>
        <v>5.6926954314720807E-2</v>
      </c>
      <c r="Z17" s="16">
        <f t="shared" si="51"/>
        <v>5.2212588832487299E-2</v>
      </c>
      <c r="AA17" s="16">
        <f t="shared" si="52"/>
        <v>4.7080507614213195E-2</v>
      </c>
      <c r="AB17" s="16">
        <f t="shared" si="53"/>
        <v>6.5012969543147212E-2</v>
      </c>
      <c r="AC17" s="16">
        <f t="shared" si="54"/>
        <v>8.5660685279187798E-2</v>
      </c>
      <c r="AD17" s="16">
        <f t="shared" si="55"/>
        <v>9.9893274111675104E-2</v>
      </c>
      <c r="AE17" s="16">
        <f t="shared" si="56"/>
        <v>0.11773621827411165</v>
      </c>
      <c r="AF17" s="16">
        <f t="shared" si="57"/>
        <v>0.11740802030456851</v>
      </c>
      <c r="AG17" s="16">
        <f t="shared" si="58"/>
        <v>0.22658081218274109</v>
      </c>
      <c r="AH17" s="16">
        <f t="shared" si="59"/>
        <v>0.3219089086294416</v>
      </c>
      <c r="AI17" s="16">
        <f t="shared" si="60"/>
        <v>0.40455596446700504</v>
      </c>
      <c r="AJ17" s="16">
        <f t="shared" si="61"/>
        <v>0.47547680203045678</v>
      </c>
      <c r="AK17" s="16">
        <f t="shared" si="62"/>
        <v>0.53240375634517756</v>
      </c>
      <c r="AL17" s="16">
        <f t="shared" si="63"/>
        <v>0.58461634517766481</v>
      </c>
      <c r="AM17" s="16">
        <f t="shared" si="64"/>
        <v>0.63169685279187804</v>
      </c>
      <c r="AN17" s="16">
        <f t="shared" si="65"/>
        <v>0.69670982233502521</v>
      </c>
      <c r="AO17" s="16">
        <f t="shared" si="66"/>
        <v>0.78237050761421301</v>
      </c>
      <c r="AP17" s="16">
        <f t="shared" si="67"/>
        <v>0.88226378172588815</v>
      </c>
      <c r="AQ17" s="16">
        <f t="shared" si="68"/>
        <v>0.99999999999999978</v>
      </c>
    </row>
    <row r="18" spans="2:43" x14ac:dyDescent="0.25">
      <c r="B18" s="3" t="s">
        <v>54</v>
      </c>
      <c r="C18" s="3" t="s">
        <v>55</v>
      </c>
      <c r="D18" s="3" cm="1">
        <f t="array" ref="D18">VLOOKUP($C18,BD!$C:$X,BD!G$1-1,FALSE)</f>
        <v>18</v>
      </c>
      <c r="E18" s="18">
        <f t="shared" si="42"/>
        <v>2413.3333336666669</v>
      </c>
      <c r="F18" s="18">
        <f t="shared" si="43"/>
        <v>43440.000006000002</v>
      </c>
      <c r="G18" s="38">
        <v>5103.5587739999992</v>
      </c>
      <c r="H18" s="38">
        <v>4609.7078759999995</v>
      </c>
      <c r="I18" s="38">
        <v>4151.3066700000008</v>
      </c>
      <c r="J18" s="38">
        <v>3527.2537560000001</v>
      </c>
      <c r="K18" s="38">
        <v>2901.2402940000002</v>
      </c>
      <c r="L18" s="38">
        <v>2328.5045759999998</v>
      </c>
      <c r="M18" s="38">
        <v>2188.0450800000003</v>
      </c>
      <c r="N18" s="38">
        <v>2069.3810159999998</v>
      </c>
      <c r="O18" s="38">
        <v>2956.9397520000002</v>
      </c>
      <c r="P18" s="38">
        <v>4079.4048900000003</v>
      </c>
      <c r="Q18" s="38">
        <v>4362.745602</v>
      </c>
      <c r="R18" s="38">
        <v>5161.9117200000001</v>
      </c>
      <c r="S18" s="19">
        <f t="shared" si="44"/>
        <v>0.99999999999999989</v>
      </c>
      <c r="T18" s="16">
        <f t="shared" si="45"/>
        <v>0.11748523879592743</v>
      </c>
      <c r="U18" s="16">
        <f t="shared" si="46"/>
        <v>0.10611666379749768</v>
      </c>
      <c r="V18" s="16">
        <f t="shared" si="47"/>
        <v>9.5564149848679003E-2</v>
      </c>
      <c r="W18" s="16">
        <f t="shared" si="48"/>
        <v>8.119829087276266E-2</v>
      </c>
      <c r="X18" s="16">
        <f t="shared" si="49"/>
        <v>6.6787299576410594E-2</v>
      </c>
      <c r="Y18" s="16">
        <f t="shared" si="50"/>
        <v>5.3602775683204026E-2</v>
      </c>
      <c r="Z18" s="16">
        <f t="shared" si="51"/>
        <v>5.0369361871495946E-2</v>
      </c>
      <c r="AA18" s="16">
        <f t="shared" si="52"/>
        <v>4.7637684523806942E-2</v>
      </c>
      <c r="AB18" s="16">
        <f t="shared" si="53"/>
        <v>6.8069515460211394E-2</v>
      </c>
      <c r="AC18" s="16">
        <f t="shared" si="54"/>
        <v>9.3908952335095455E-2</v>
      </c>
      <c r="AD18" s="16">
        <f t="shared" si="55"/>
        <v>0.10043152857728846</v>
      </c>
      <c r="AE18" s="16">
        <f t="shared" si="56"/>
        <v>0.11882853865762036</v>
      </c>
      <c r="AF18" s="16">
        <f t="shared" si="57"/>
        <v>0.11748523879592743</v>
      </c>
      <c r="AG18" s="16">
        <f t="shared" si="58"/>
        <v>0.22360190259342511</v>
      </c>
      <c r="AH18" s="16">
        <f t="shared" si="59"/>
        <v>0.31916605244210411</v>
      </c>
      <c r="AI18" s="16">
        <f t="shared" si="60"/>
        <v>0.40036434331486676</v>
      </c>
      <c r="AJ18" s="16">
        <f t="shared" si="61"/>
        <v>0.46715164289127736</v>
      </c>
      <c r="AK18" s="16">
        <f t="shared" si="62"/>
        <v>0.52075441857448135</v>
      </c>
      <c r="AL18" s="16">
        <f t="shared" si="63"/>
        <v>0.57112378044597734</v>
      </c>
      <c r="AM18" s="16">
        <f t="shared" si="64"/>
        <v>0.61876146496978424</v>
      </c>
      <c r="AN18" s="16">
        <f t="shared" si="65"/>
        <v>0.68683098042999569</v>
      </c>
      <c r="AO18" s="16">
        <f t="shared" si="66"/>
        <v>0.78073993276509113</v>
      </c>
      <c r="AP18" s="16">
        <f t="shared" si="67"/>
        <v>0.88117146134237956</v>
      </c>
      <c r="AQ18" s="16">
        <f t="shared" si="68"/>
        <v>0.99999999999999989</v>
      </c>
    </row>
    <row r="19" spans="2:43" x14ac:dyDescent="0.25">
      <c r="B19" s="3" t="s">
        <v>56</v>
      </c>
      <c r="C19" s="3" t="s">
        <v>57</v>
      </c>
      <c r="D19" s="3" cm="1">
        <f t="array" ref="D19">VLOOKUP($C19,BD!$C:$X,BD!G$1-1,FALSE)</f>
        <v>12</v>
      </c>
      <c r="E19" s="18">
        <f t="shared" si="42"/>
        <v>2413.3333336666665</v>
      </c>
      <c r="F19" s="18">
        <f t="shared" si="43"/>
        <v>28960.000003999998</v>
      </c>
      <c r="G19" s="38">
        <v>3402.372515999999</v>
      </c>
      <c r="H19" s="38">
        <v>3073.1385839999998</v>
      </c>
      <c r="I19" s="38">
        <v>2767.5377800000001</v>
      </c>
      <c r="J19" s="38">
        <v>2351.5025039999996</v>
      </c>
      <c r="K19" s="38">
        <v>1934.160196</v>
      </c>
      <c r="L19" s="38">
        <v>1552.336384</v>
      </c>
      <c r="M19" s="38">
        <v>1458.6967199999999</v>
      </c>
      <c r="N19" s="38">
        <v>1379.587344</v>
      </c>
      <c r="O19" s="38">
        <v>1971.2931680000002</v>
      </c>
      <c r="P19" s="38">
        <v>2719.6032600000003</v>
      </c>
      <c r="Q19" s="38">
        <v>2908.4970679999997</v>
      </c>
      <c r="R19" s="38">
        <v>3441.27448</v>
      </c>
      <c r="S19" s="19">
        <f t="shared" si="44"/>
        <v>1</v>
      </c>
      <c r="T19" s="16">
        <f t="shared" si="45"/>
        <v>0.11748523879592743</v>
      </c>
      <c r="U19" s="16">
        <f t="shared" si="46"/>
        <v>0.10611666379749771</v>
      </c>
      <c r="V19" s="16">
        <f t="shared" si="47"/>
        <v>9.5564149848679003E-2</v>
      </c>
      <c r="W19" s="16">
        <f t="shared" si="48"/>
        <v>8.119829087276266E-2</v>
      </c>
      <c r="X19" s="16">
        <f t="shared" si="49"/>
        <v>6.6787299576410594E-2</v>
      </c>
      <c r="Y19" s="16">
        <f t="shared" si="50"/>
        <v>5.360277568320404E-2</v>
      </c>
      <c r="Z19" s="16">
        <f t="shared" si="51"/>
        <v>5.0369361871495946E-2</v>
      </c>
      <c r="AA19" s="16">
        <f t="shared" si="52"/>
        <v>4.7637684523806956E-2</v>
      </c>
      <c r="AB19" s="16">
        <f t="shared" si="53"/>
        <v>6.8069515460211408E-2</v>
      </c>
      <c r="AC19" s="16">
        <f t="shared" si="54"/>
        <v>9.3908952335095469E-2</v>
      </c>
      <c r="AD19" s="16">
        <f t="shared" si="55"/>
        <v>0.10043152857728846</v>
      </c>
      <c r="AE19" s="16">
        <f t="shared" si="56"/>
        <v>0.11882853865762037</v>
      </c>
      <c r="AF19" s="16">
        <f t="shared" si="57"/>
        <v>0.11748523879592743</v>
      </c>
      <c r="AG19" s="16">
        <f t="shared" si="58"/>
        <v>0.22360190259342513</v>
      </c>
      <c r="AH19" s="16">
        <f t="shared" si="59"/>
        <v>0.31916605244210416</v>
      </c>
      <c r="AI19" s="16">
        <f t="shared" si="60"/>
        <v>0.40036434331486681</v>
      </c>
      <c r="AJ19" s="16">
        <f t="shared" si="61"/>
        <v>0.46715164289127742</v>
      </c>
      <c r="AK19" s="16">
        <f t="shared" si="62"/>
        <v>0.52075441857448146</v>
      </c>
      <c r="AL19" s="16">
        <f t="shared" si="63"/>
        <v>0.57112378044597745</v>
      </c>
      <c r="AM19" s="16">
        <f t="shared" si="64"/>
        <v>0.61876146496978435</v>
      </c>
      <c r="AN19" s="16">
        <f t="shared" si="65"/>
        <v>0.6868309804299958</v>
      </c>
      <c r="AO19" s="16">
        <f t="shared" si="66"/>
        <v>0.78073993276509124</v>
      </c>
      <c r="AP19" s="16">
        <f t="shared" si="67"/>
        <v>0.88117146134237967</v>
      </c>
      <c r="AQ19" s="16">
        <f t="shared" si="68"/>
        <v>1</v>
      </c>
    </row>
    <row r="20" spans="2:43" x14ac:dyDescent="0.25">
      <c r="B20" s="3" t="s">
        <v>58</v>
      </c>
      <c r="C20" s="3" t="str">
        <f>B20</f>
        <v>Cham Longe 2</v>
      </c>
      <c r="D20" s="3" cm="1">
        <f t="array" ref="D20">VLOOKUP($C20,BD!$C:$X,BD!G$1-1,FALSE)</f>
        <v>4.5999999999999996</v>
      </c>
      <c r="E20" s="18">
        <f t="shared" si="42"/>
        <v>2652.173695652174</v>
      </c>
      <c r="F20" s="18">
        <f t="shared" si="43"/>
        <v>12199.999</v>
      </c>
      <c r="G20" s="38">
        <v>1339.44</v>
      </c>
      <c r="H20" s="38">
        <v>1314.98</v>
      </c>
      <c r="I20" s="38">
        <v>1171.7809999999999</v>
      </c>
      <c r="J20" s="38">
        <v>1023.912</v>
      </c>
      <c r="K20" s="38">
        <v>846.24699999999996</v>
      </c>
      <c r="L20" s="38">
        <v>759.30399999999997</v>
      </c>
      <c r="M20" s="38">
        <v>737.06799999999998</v>
      </c>
      <c r="N20" s="38">
        <v>649.23599999999999</v>
      </c>
      <c r="O20" s="38">
        <v>820.45299999999997</v>
      </c>
      <c r="P20" s="38">
        <v>955.20299999999997</v>
      </c>
      <c r="Q20" s="38">
        <v>1267.395</v>
      </c>
      <c r="R20" s="38">
        <v>1314.98</v>
      </c>
      <c r="S20" s="19">
        <f t="shared" si="44"/>
        <v>1</v>
      </c>
      <c r="T20" s="16">
        <f t="shared" si="45"/>
        <v>0.10979017293362074</v>
      </c>
      <c r="U20" s="16">
        <f t="shared" si="46"/>
        <v>0.10778525473649629</v>
      </c>
      <c r="V20" s="16">
        <f t="shared" si="47"/>
        <v>9.6047630823576299E-2</v>
      </c>
      <c r="W20" s="16">
        <f t="shared" si="48"/>
        <v>8.3927219994034435E-2</v>
      </c>
      <c r="X20" s="16">
        <f t="shared" si="49"/>
        <v>6.9364513882337206E-2</v>
      </c>
      <c r="Y20" s="16">
        <f t="shared" si="50"/>
        <v>6.2238037888363761E-2</v>
      </c>
      <c r="Z20" s="16">
        <f t="shared" si="51"/>
        <v>6.0415414788148755E-2</v>
      </c>
      <c r="AA20" s="16">
        <f t="shared" si="52"/>
        <v>5.3216069935743439E-2</v>
      </c>
      <c r="AB20" s="16">
        <f t="shared" si="53"/>
        <v>6.7250251413955034E-2</v>
      </c>
      <c r="AC20" s="16">
        <f t="shared" si="54"/>
        <v>7.8295334286502816E-2</v>
      </c>
      <c r="AD20" s="16">
        <f t="shared" si="55"/>
        <v>0.10388484458072497</v>
      </c>
      <c r="AE20" s="16">
        <f t="shared" si="56"/>
        <v>0.10778525473649629</v>
      </c>
      <c r="AF20" s="16">
        <f t="shared" si="57"/>
        <v>0.10979017293362074</v>
      </c>
      <c r="AG20" s="16">
        <f t="shared" si="58"/>
        <v>0.21757542767011703</v>
      </c>
      <c r="AH20" s="16">
        <f t="shared" si="59"/>
        <v>0.31362305849369332</v>
      </c>
      <c r="AI20" s="16">
        <f t="shared" si="60"/>
        <v>0.39755027848772773</v>
      </c>
      <c r="AJ20" s="16">
        <f t="shared" si="61"/>
        <v>0.46691479237006495</v>
      </c>
      <c r="AK20" s="16">
        <f t="shared" si="62"/>
        <v>0.52915283025842874</v>
      </c>
      <c r="AL20" s="16">
        <f t="shared" si="63"/>
        <v>0.58956824504657745</v>
      </c>
      <c r="AM20" s="16">
        <f t="shared" si="64"/>
        <v>0.64278431498232091</v>
      </c>
      <c r="AN20" s="16">
        <f t="shared" si="65"/>
        <v>0.71003456639627593</v>
      </c>
      <c r="AO20" s="16">
        <f t="shared" si="66"/>
        <v>0.78832990068277875</v>
      </c>
      <c r="AP20" s="16">
        <f t="shared" si="67"/>
        <v>0.89221474526350375</v>
      </c>
      <c r="AQ20" s="16">
        <f t="shared" si="68"/>
        <v>1</v>
      </c>
    </row>
    <row r="21" spans="2:43" x14ac:dyDescent="0.25">
      <c r="B21" s="3" t="s">
        <v>59</v>
      </c>
      <c r="C21" s="3" t="s">
        <v>60</v>
      </c>
      <c r="D21" s="3" cm="1">
        <f t="array" ref="D21">VLOOKUP($C21,BD!$C:$X,BD!G$1-1,FALSE)</f>
        <v>11.5</v>
      </c>
      <c r="E21" s="18">
        <f t="shared" si="42"/>
        <v>2746.0870144927535</v>
      </c>
      <c r="F21" s="18">
        <f t="shared" si="43"/>
        <v>31580.000666666667</v>
      </c>
      <c r="G21" s="38">
        <v>3701.2360000000003</v>
      </c>
      <c r="H21" s="38">
        <v>3313.3093333333331</v>
      </c>
      <c r="I21" s="38">
        <v>2860.2663333333335</v>
      </c>
      <c r="J21" s="38">
        <v>2285.9963333333335</v>
      </c>
      <c r="K21" s="38">
        <v>2137.0603333333333</v>
      </c>
      <c r="L21" s="38">
        <v>1871.0533333333333</v>
      </c>
      <c r="M21" s="38">
        <v>1848.886</v>
      </c>
      <c r="N21" s="38">
        <v>1835.7243333333331</v>
      </c>
      <c r="O21" s="38">
        <v>2156.4566666666669</v>
      </c>
      <c r="P21" s="38">
        <v>2901.83</v>
      </c>
      <c r="Q21" s="38">
        <v>3106.8766666666666</v>
      </c>
      <c r="R21" s="38">
        <v>3561.3053333333328</v>
      </c>
      <c r="S21" s="19">
        <f t="shared" si="44"/>
        <v>0.99999999999999989</v>
      </c>
      <c r="T21" s="16">
        <f t="shared" si="45"/>
        <v>0.11720189746248898</v>
      </c>
      <c r="U21" s="16">
        <f t="shared" si="46"/>
        <v>0.10491796274186271</v>
      </c>
      <c r="V21" s="16">
        <f t="shared" si="47"/>
        <v>9.0572079574159192E-2</v>
      </c>
      <c r="W21" s="16">
        <f t="shared" si="48"/>
        <v>7.2387469445060817E-2</v>
      </c>
      <c r="X21" s="16">
        <f t="shared" si="49"/>
        <v>6.767132008293604E-2</v>
      </c>
      <c r="Y21" s="16">
        <f t="shared" si="50"/>
        <v>5.9248046036562252E-2</v>
      </c>
      <c r="Z21" s="16">
        <f t="shared" si="51"/>
        <v>5.8546103893896896E-2</v>
      </c>
      <c r="AA21" s="16">
        <f t="shared" si="52"/>
        <v>5.81293316839913E-2</v>
      </c>
      <c r="AB21" s="16">
        <f t="shared" si="53"/>
        <v>6.8285516818967357E-2</v>
      </c>
      <c r="AC21" s="16">
        <f t="shared" si="54"/>
        <v>9.1888218452855844E-2</v>
      </c>
      <c r="AD21" s="16">
        <f t="shared" si="55"/>
        <v>9.8381146329298147E-2</v>
      </c>
      <c r="AE21" s="16">
        <f t="shared" si="56"/>
        <v>0.11277090747792044</v>
      </c>
      <c r="AF21" s="16">
        <f t="shared" si="57"/>
        <v>0.11720189746248898</v>
      </c>
      <c r="AG21" s="16">
        <f t="shared" si="58"/>
        <v>0.2221198602043517</v>
      </c>
      <c r="AH21" s="16">
        <f t="shared" si="59"/>
        <v>0.3126919397785109</v>
      </c>
      <c r="AI21" s="16">
        <f t="shared" si="60"/>
        <v>0.3850794092235717</v>
      </c>
      <c r="AJ21" s="16">
        <f t="shared" si="61"/>
        <v>0.45275072930650773</v>
      </c>
      <c r="AK21" s="16">
        <f t="shared" si="62"/>
        <v>0.51199877534306992</v>
      </c>
      <c r="AL21" s="16">
        <f t="shared" si="63"/>
        <v>0.57054487923696684</v>
      </c>
      <c r="AM21" s="16">
        <f t="shared" si="64"/>
        <v>0.6286742109209581</v>
      </c>
      <c r="AN21" s="16">
        <f t="shared" si="65"/>
        <v>0.69695972773992543</v>
      </c>
      <c r="AO21" s="16">
        <f t="shared" si="66"/>
        <v>0.78884794619278131</v>
      </c>
      <c r="AP21" s="16">
        <f t="shared" si="67"/>
        <v>0.88722909252207949</v>
      </c>
      <c r="AQ21" s="16">
        <f t="shared" si="68"/>
        <v>0.99999999999999989</v>
      </c>
    </row>
    <row r="22" spans="2:43" x14ac:dyDescent="0.25">
      <c r="B22" s="3" t="s">
        <v>68</v>
      </c>
      <c r="C22" s="3" t="str">
        <f>B22</f>
        <v xml:space="preserve">Chasse Marée </v>
      </c>
      <c r="D22" s="3" cm="1">
        <f t="array" ref="D22">VLOOKUP($C22,BD!$C:$X,BD!G$1-1,FALSE)</f>
        <v>9.1999999999999993</v>
      </c>
      <c r="E22" s="18">
        <f t="shared" si="42"/>
        <v>2130.4346739130438</v>
      </c>
      <c r="F22" s="18">
        <f t="shared" si="43"/>
        <v>19599.999</v>
      </c>
      <c r="G22" s="38">
        <v>2501.509</v>
      </c>
      <c r="H22" s="38">
        <v>2171.2449999999999</v>
      </c>
      <c r="I22" s="38">
        <v>1815.348</v>
      </c>
      <c r="J22" s="38">
        <v>1342.134</v>
      </c>
      <c r="K22" s="38">
        <v>1239.1110000000001</v>
      </c>
      <c r="L22" s="38">
        <v>996.096</v>
      </c>
      <c r="M22" s="38">
        <v>998.06799999999998</v>
      </c>
      <c r="N22" s="38">
        <v>1007.927</v>
      </c>
      <c r="O22" s="38">
        <v>1262.7719999999999</v>
      </c>
      <c r="P22" s="38">
        <v>1857.74</v>
      </c>
      <c r="Q22" s="38">
        <v>2037.66</v>
      </c>
      <c r="R22" s="38">
        <v>2370.3890000000001</v>
      </c>
      <c r="S22" s="19">
        <f t="shared" si="44"/>
        <v>1.0000000000000002</v>
      </c>
      <c r="T22" s="16">
        <f t="shared" si="45"/>
        <v>0.12762801671571514</v>
      </c>
      <c r="U22" s="16">
        <f t="shared" si="46"/>
        <v>0.11077781177437815</v>
      </c>
      <c r="V22" s="16">
        <f t="shared" si="47"/>
        <v>9.2619800643867378E-2</v>
      </c>
      <c r="W22" s="16">
        <f t="shared" si="48"/>
        <v>6.8476227983481019E-2</v>
      </c>
      <c r="X22" s="16">
        <f t="shared" si="49"/>
        <v>6.3219952205099614E-2</v>
      </c>
      <c r="Y22" s="16">
        <f t="shared" si="50"/>
        <v>5.0821227082715671E-2</v>
      </c>
      <c r="Z22" s="16">
        <f t="shared" si="51"/>
        <v>5.0921839332746903E-2</v>
      </c>
      <c r="AA22" s="16">
        <f t="shared" si="52"/>
        <v>5.1424849562492325E-2</v>
      </c>
      <c r="AB22" s="16">
        <f t="shared" si="53"/>
        <v>6.4427146144242151E-2</v>
      </c>
      <c r="AC22" s="16">
        <f t="shared" si="54"/>
        <v>9.4782657897074379E-2</v>
      </c>
      <c r="AD22" s="16">
        <f t="shared" si="55"/>
        <v>0.10396225020215563</v>
      </c>
      <c r="AE22" s="16">
        <f t="shared" si="56"/>
        <v>0.12093822045603167</v>
      </c>
      <c r="AF22" s="16">
        <f t="shared" si="57"/>
        <v>0.12762801671571514</v>
      </c>
      <c r="AG22" s="16">
        <f t="shared" si="58"/>
        <v>0.23840582849009329</v>
      </c>
      <c r="AH22" s="16">
        <f t="shared" si="59"/>
        <v>0.33102562913396066</v>
      </c>
      <c r="AI22" s="16">
        <f t="shared" si="60"/>
        <v>0.39950185711744168</v>
      </c>
      <c r="AJ22" s="16">
        <f t="shared" si="61"/>
        <v>0.46272180932254131</v>
      </c>
      <c r="AK22" s="16">
        <f t="shared" si="62"/>
        <v>0.513543036405257</v>
      </c>
      <c r="AL22" s="16">
        <f t="shared" si="63"/>
        <v>0.56446487573800386</v>
      </c>
      <c r="AM22" s="16">
        <f t="shared" si="64"/>
        <v>0.61588972530049624</v>
      </c>
      <c r="AN22" s="16">
        <f t="shared" si="65"/>
        <v>0.6803168714447384</v>
      </c>
      <c r="AO22" s="16">
        <f t="shared" si="66"/>
        <v>0.77509952934181281</v>
      </c>
      <c r="AP22" s="16">
        <f t="shared" si="67"/>
        <v>0.87906177954396847</v>
      </c>
      <c r="AQ22" s="16">
        <f t="shared" si="68"/>
        <v>1.0000000000000002</v>
      </c>
    </row>
    <row r="23" spans="2:43" x14ac:dyDescent="0.25">
      <c r="B23" s="3" t="s">
        <v>69</v>
      </c>
      <c r="C23" s="3" t="str">
        <f>B23</f>
        <v xml:space="preserve">Le Grand Camp </v>
      </c>
      <c r="D23" s="3" cm="1">
        <f t="array" ref="D23">VLOOKUP($C23,BD!$C:$X,BD!G$1-1,FALSE)</f>
        <v>10</v>
      </c>
      <c r="E23" s="18">
        <f t="shared" si="42"/>
        <v>2439.9998999999998</v>
      </c>
      <c r="F23" s="18">
        <f t="shared" si="43"/>
        <v>24399.998999999996</v>
      </c>
      <c r="G23" s="38">
        <v>2807.25</v>
      </c>
      <c r="H23" s="38">
        <v>2620.6120000000001</v>
      </c>
      <c r="I23" s="38">
        <v>2289.366</v>
      </c>
      <c r="J23" s="38">
        <v>1965.2439999999999</v>
      </c>
      <c r="K23" s="38">
        <v>1747.9749999999999</v>
      </c>
      <c r="L23" s="38">
        <v>1396.07</v>
      </c>
      <c r="M23" s="38">
        <v>1341.931</v>
      </c>
      <c r="N23" s="38">
        <v>1233.653</v>
      </c>
      <c r="O23" s="38">
        <v>1637.56</v>
      </c>
      <c r="P23" s="38">
        <v>2168.9780000000001</v>
      </c>
      <c r="Q23" s="38">
        <v>2347.7800000000002</v>
      </c>
      <c r="R23" s="38">
        <v>2843.58</v>
      </c>
      <c r="S23" s="19">
        <f t="shared" si="44"/>
        <v>1.0000000000000002</v>
      </c>
      <c r="T23" s="16">
        <f t="shared" si="45"/>
        <v>0.11505123422341125</v>
      </c>
      <c r="U23" s="16">
        <f t="shared" si="46"/>
        <v>0.10740213554926788</v>
      </c>
      <c r="V23" s="16">
        <f t="shared" si="47"/>
        <v>9.3826479255183587E-2</v>
      </c>
      <c r="W23" s="16">
        <f t="shared" si="48"/>
        <v>8.0542790186179936E-2</v>
      </c>
      <c r="X23" s="16">
        <f t="shared" si="49"/>
        <v>7.1638322608127983E-2</v>
      </c>
      <c r="Y23" s="16">
        <f t="shared" si="50"/>
        <v>5.721598595147484E-2</v>
      </c>
      <c r="Z23" s="16">
        <f t="shared" si="51"/>
        <v>5.4997174385130111E-2</v>
      </c>
      <c r="AA23" s="16">
        <f t="shared" si="52"/>
        <v>5.0559551252440632E-2</v>
      </c>
      <c r="AB23" s="16">
        <f t="shared" si="53"/>
        <v>6.7113117504635972E-2</v>
      </c>
      <c r="AC23" s="16">
        <f t="shared" si="54"/>
        <v>8.8892544626743647E-2</v>
      </c>
      <c r="AD23" s="16">
        <f t="shared" si="55"/>
        <v>9.6220495746741658E-2</v>
      </c>
      <c r="AE23" s="16">
        <f t="shared" si="56"/>
        <v>0.11654016871066267</v>
      </c>
      <c r="AF23" s="16">
        <f t="shared" si="57"/>
        <v>0.11505123422341125</v>
      </c>
      <c r="AG23" s="16">
        <f t="shared" si="58"/>
        <v>0.22245336977267913</v>
      </c>
      <c r="AH23" s="16">
        <f t="shared" si="59"/>
        <v>0.31627984902786271</v>
      </c>
      <c r="AI23" s="16">
        <f t="shared" si="60"/>
        <v>0.39682263921404265</v>
      </c>
      <c r="AJ23" s="16">
        <f t="shared" si="61"/>
        <v>0.46846096182217062</v>
      </c>
      <c r="AK23" s="16">
        <f t="shared" si="62"/>
        <v>0.52567694777364549</v>
      </c>
      <c r="AL23" s="16">
        <f t="shared" si="63"/>
        <v>0.58067412215877556</v>
      </c>
      <c r="AM23" s="16">
        <f t="shared" si="64"/>
        <v>0.63123367341121617</v>
      </c>
      <c r="AN23" s="16">
        <f t="shared" si="65"/>
        <v>0.69834679091585217</v>
      </c>
      <c r="AO23" s="16">
        <f t="shared" si="66"/>
        <v>0.78723933554259584</v>
      </c>
      <c r="AP23" s="16">
        <f t="shared" si="67"/>
        <v>0.88345983128933747</v>
      </c>
      <c r="AQ23" s="16">
        <f t="shared" si="68"/>
        <v>1.0000000000000002</v>
      </c>
    </row>
    <row r="24" spans="2:43" x14ac:dyDescent="0.25">
      <c r="B24" s="3" t="s">
        <v>64</v>
      </c>
      <c r="C24" s="3" t="s">
        <v>65</v>
      </c>
      <c r="D24" s="3" cm="1">
        <f t="array" ref="D24">VLOOKUP($C24,BD!$C:$X,BD!G$1-1,FALSE)</f>
        <v>18</v>
      </c>
      <c r="E24" s="18">
        <f t="shared" si="42"/>
        <v>2116.6666999999998</v>
      </c>
      <c r="F24" s="18">
        <f t="shared" si="43"/>
        <v>38100.000599999999</v>
      </c>
      <c r="G24" s="38">
        <v>4654.9590000000007</v>
      </c>
      <c r="H24" s="38">
        <v>4176.5316000000003</v>
      </c>
      <c r="I24" s="38">
        <v>3576.3995999999997</v>
      </c>
      <c r="J24" s="38">
        <v>2814.6936000000001</v>
      </c>
      <c r="K24" s="38">
        <v>2609.0538000000001</v>
      </c>
      <c r="L24" s="38">
        <v>2027.8067999999998</v>
      </c>
      <c r="M24" s="38">
        <v>1918.692</v>
      </c>
      <c r="N24" s="38">
        <v>1913.4462000000001</v>
      </c>
      <c r="O24" s="38">
        <v>2495.7419999999997</v>
      </c>
      <c r="P24" s="38">
        <v>3616.2683999999999</v>
      </c>
      <c r="Q24" s="38">
        <v>3827.154</v>
      </c>
      <c r="R24" s="38">
        <v>4469.2536</v>
      </c>
      <c r="S24" s="19">
        <f t="shared" si="44"/>
        <v>0.99999999999999989</v>
      </c>
      <c r="T24" s="16">
        <f t="shared" si="45"/>
        <v>0.12217739965074963</v>
      </c>
      <c r="U24" s="16">
        <f t="shared" si="46"/>
        <v>0.10962025024220079</v>
      </c>
      <c r="V24" s="16">
        <f t="shared" si="47"/>
        <v>9.3868754427263709E-2</v>
      </c>
      <c r="W24" s="16">
        <f t="shared" si="48"/>
        <v>7.3876471277535882E-2</v>
      </c>
      <c r="X24" s="16">
        <f t="shared" si="49"/>
        <v>6.8479101283793684E-2</v>
      </c>
      <c r="Y24" s="16">
        <f t="shared" si="50"/>
        <v>5.3223274752389374E-2</v>
      </c>
      <c r="Z24" s="16">
        <f t="shared" si="51"/>
        <v>5.0359369285679224E-2</v>
      </c>
      <c r="AA24" s="16">
        <f t="shared" si="52"/>
        <v>5.0221684248477415E-2</v>
      </c>
      <c r="AB24" s="16">
        <f t="shared" si="53"/>
        <v>6.5505038338503324E-2</v>
      </c>
      <c r="AC24" s="16">
        <f t="shared" si="54"/>
        <v>9.4915179607634972E-2</v>
      </c>
      <c r="AD24" s="16">
        <f t="shared" si="55"/>
        <v>0.10045023463857898</v>
      </c>
      <c r="AE24" s="16">
        <f t="shared" si="56"/>
        <v>0.11730324224719303</v>
      </c>
      <c r="AF24" s="16">
        <f t="shared" si="57"/>
        <v>0.12217739965074963</v>
      </c>
      <c r="AG24" s="16">
        <f t="shared" si="58"/>
        <v>0.23179764989295043</v>
      </c>
      <c r="AH24" s="16">
        <f t="shared" si="59"/>
        <v>0.32566640432021415</v>
      </c>
      <c r="AI24" s="16">
        <f t="shared" si="60"/>
        <v>0.39954287559775004</v>
      </c>
      <c r="AJ24" s="16">
        <f t="shared" si="61"/>
        <v>0.46802197688154373</v>
      </c>
      <c r="AK24" s="16">
        <f t="shared" si="62"/>
        <v>0.52124525163393309</v>
      </c>
      <c r="AL24" s="16">
        <f t="shared" si="63"/>
        <v>0.57160462091961228</v>
      </c>
      <c r="AM24" s="16">
        <f t="shared" si="64"/>
        <v>0.62182630516808968</v>
      </c>
      <c r="AN24" s="16">
        <f t="shared" si="65"/>
        <v>0.68733134350659297</v>
      </c>
      <c r="AO24" s="16">
        <f t="shared" si="66"/>
        <v>0.78224652311422793</v>
      </c>
      <c r="AP24" s="16">
        <f t="shared" si="67"/>
        <v>0.88269675775280687</v>
      </c>
      <c r="AQ24" s="16">
        <f t="shared" si="68"/>
        <v>0.99999999999999989</v>
      </c>
    </row>
    <row r="25" spans="2:43" x14ac:dyDescent="0.25">
      <c r="B25" s="3" t="s">
        <v>64</v>
      </c>
      <c r="C25" s="3" t="s">
        <v>70</v>
      </c>
      <c r="D25" s="3" cm="1">
        <f t="array" ref="D25">VLOOKUP($C25,BD!$C:$X,BD!G$1-1,FALSE)</f>
        <v>12</v>
      </c>
      <c r="E25" s="18">
        <f t="shared" si="42"/>
        <v>2116.6667000000007</v>
      </c>
      <c r="F25" s="18">
        <f t="shared" si="43"/>
        <v>25400.000400000008</v>
      </c>
      <c r="G25" s="38">
        <v>3103.306</v>
      </c>
      <c r="H25" s="38">
        <v>2784.3544000000006</v>
      </c>
      <c r="I25" s="38">
        <v>2384.2664</v>
      </c>
      <c r="J25" s="38">
        <v>1876.4624000000001</v>
      </c>
      <c r="K25" s="38">
        <v>1739.3692000000001</v>
      </c>
      <c r="L25" s="38">
        <v>1351.8712</v>
      </c>
      <c r="M25" s="38">
        <v>1279.1280000000002</v>
      </c>
      <c r="N25" s="38">
        <v>1275.6307999999999</v>
      </c>
      <c r="O25" s="38">
        <v>1663.828</v>
      </c>
      <c r="P25" s="38">
        <v>2410.8455999999996</v>
      </c>
      <c r="Q25" s="38">
        <v>2551.4360000000001</v>
      </c>
      <c r="R25" s="38">
        <v>2979.5023999999999</v>
      </c>
      <c r="S25" s="19">
        <f t="shared" si="44"/>
        <v>0.99999999999999978</v>
      </c>
      <c r="T25" s="16">
        <f t="shared" si="45"/>
        <v>0.12217739965074957</v>
      </c>
      <c r="U25" s="16">
        <f t="shared" si="46"/>
        <v>0.10962025024220078</v>
      </c>
      <c r="V25" s="16">
        <f t="shared" si="47"/>
        <v>9.3868754427263681E-2</v>
      </c>
      <c r="W25" s="16">
        <f t="shared" si="48"/>
        <v>7.3876471277535868E-2</v>
      </c>
      <c r="X25" s="16">
        <f t="shared" si="49"/>
        <v>6.8479101283793656E-2</v>
      </c>
      <c r="Y25" s="16">
        <f t="shared" si="50"/>
        <v>5.322327475238936E-2</v>
      </c>
      <c r="Z25" s="16">
        <f t="shared" si="51"/>
        <v>5.0359369285679217E-2</v>
      </c>
      <c r="AA25" s="16">
        <f t="shared" si="52"/>
        <v>5.0221684248477394E-2</v>
      </c>
      <c r="AB25" s="16">
        <f t="shared" si="53"/>
        <v>6.550503833850331E-2</v>
      </c>
      <c r="AC25" s="16">
        <f t="shared" si="54"/>
        <v>9.4915179607634917E-2</v>
      </c>
      <c r="AD25" s="16">
        <f t="shared" si="55"/>
        <v>0.10045023463857895</v>
      </c>
      <c r="AE25" s="16">
        <f t="shared" si="56"/>
        <v>0.11730324224719299</v>
      </c>
      <c r="AF25" s="16">
        <f t="shared" si="57"/>
        <v>0.12217739965074957</v>
      </c>
      <c r="AG25" s="16">
        <f t="shared" si="58"/>
        <v>0.23179764989295035</v>
      </c>
      <c r="AH25" s="16">
        <f t="shared" si="59"/>
        <v>0.32566640432021404</v>
      </c>
      <c r="AI25" s="16">
        <f t="shared" si="60"/>
        <v>0.39954287559774992</v>
      </c>
      <c r="AJ25" s="16">
        <f t="shared" si="61"/>
        <v>0.46802197688154357</v>
      </c>
      <c r="AK25" s="16">
        <f t="shared" si="62"/>
        <v>0.52124525163393298</v>
      </c>
      <c r="AL25" s="16">
        <f t="shared" si="63"/>
        <v>0.57160462091961217</v>
      </c>
      <c r="AM25" s="16">
        <f t="shared" si="64"/>
        <v>0.62182630516808957</v>
      </c>
      <c r="AN25" s="16">
        <f t="shared" si="65"/>
        <v>0.68733134350659286</v>
      </c>
      <c r="AO25" s="16">
        <f t="shared" si="66"/>
        <v>0.78224652311422782</v>
      </c>
      <c r="AP25" s="16">
        <f t="shared" si="67"/>
        <v>0.88269675775280676</v>
      </c>
      <c r="AQ25" s="16">
        <f t="shared" si="68"/>
        <v>0.99999999999999978</v>
      </c>
    </row>
    <row r="26" spans="2:43" x14ac:dyDescent="0.25">
      <c r="B26" s="3" t="s">
        <v>63</v>
      </c>
      <c r="C26" s="3" t="str">
        <f>B26</f>
        <v>La Bouleste</v>
      </c>
      <c r="D26" s="3" cm="1">
        <f t="array" ref="D26">VLOOKUP($C26,BD!$C:$X,BD!G$1-1,FALSE)</f>
        <v>10</v>
      </c>
      <c r="E26" s="18">
        <f t="shared" si="42"/>
        <v>1602.0000999999997</v>
      </c>
      <c r="F26" s="18">
        <f t="shared" si="43"/>
        <v>16020.000999999998</v>
      </c>
      <c r="G26" s="38">
        <v>1634.97</v>
      </c>
      <c r="H26" s="38">
        <v>1597.8</v>
      </c>
      <c r="I26" s="38">
        <v>1629.1769999999999</v>
      </c>
      <c r="J26" s="38">
        <v>1595.8689999999999</v>
      </c>
      <c r="K26" s="38">
        <v>1382.508</v>
      </c>
      <c r="L26" s="38">
        <v>856.827</v>
      </c>
      <c r="M26" s="38">
        <v>762.21400000000006</v>
      </c>
      <c r="N26" s="38">
        <v>658.91200000000003</v>
      </c>
      <c r="O26" s="38">
        <v>1014.193</v>
      </c>
      <c r="P26" s="38">
        <v>1613.73</v>
      </c>
      <c r="Q26" s="38">
        <v>1675.518</v>
      </c>
      <c r="R26" s="38">
        <v>1598.2829999999999</v>
      </c>
      <c r="S26" s="19">
        <f t="shared" si="44"/>
        <v>1.0000000000000002</v>
      </c>
      <c r="T26" s="16">
        <f t="shared" si="45"/>
        <v>0.10205804606379239</v>
      </c>
      <c r="U26" s="16">
        <f t="shared" si="46"/>
        <v>9.9737821489524259E-2</v>
      </c>
      <c r="V26" s="16">
        <f t="shared" si="47"/>
        <v>0.10169643559947343</v>
      </c>
      <c r="W26" s="16">
        <f t="shared" si="48"/>
        <v>9.9617284668084602E-2</v>
      </c>
      <c r="X26" s="16">
        <f t="shared" si="49"/>
        <v>8.6298871017548642E-2</v>
      </c>
      <c r="Y26" s="16">
        <f t="shared" si="50"/>
        <v>5.3484828122045691E-2</v>
      </c>
      <c r="Z26" s="16">
        <f t="shared" si="51"/>
        <v>4.7578898403314716E-2</v>
      </c>
      <c r="AA26" s="16">
        <f t="shared" si="52"/>
        <v>4.1130584199089631E-2</v>
      </c>
      <c r="AB26" s="16">
        <f t="shared" si="53"/>
        <v>6.3307923638706395E-2</v>
      </c>
      <c r="AC26" s="16">
        <f t="shared" si="54"/>
        <v>0.1007322034499249</v>
      </c>
      <c r="AD26" s="16">
        <f t="shared" si="55"/>
        <v>0.10458913204811911</v>
      </c>
      <c r="AE26" s="16">
        <f t="shared" si="56"/>
        <v>9.9767971300376332E-2</v>
      </c>
      <c r="AF26" s="16">
        <f t="shared" si="57"/>
        <v>0.10205804606379239</v>
      </c>
      <c r="AG26" s="16">
        <f t="shared" si="58"/>
        <v>0.20179586755331663</v>
      </c>
      <c r="AH26" s="16">
        <f t="shared" si="59"/>
        <v>0.30349230315279008</v>
      </c>
      <c r="AI26" s="16">
        <f t="shared" si="60"/>
        <v>0.40310958782087469</v>
      </c>
      <c r="AJ26" s="16">
        <f t="shared" si="61"/>
        <v>0.48940845883842332</v>
      </c>
      <c r="AK26" s="16">
        <f t="shared" si="62"/>
        <v>0.54289328696046901</v>
      </c>
      <c r="AL26" s="16">
        <f t="shared" si="63"/>
        <v>0.59047218536378376</v>
      </c>
      <c r="AM26" s="16">
        <f t="shared" si="64"/>
        <v>0.63160276956287342</v>
      </c>
      <c r="AN26" s="16">
        <f t="shared" si="65"/>
        <v>0.69491069320157983</v>
      </c>
      <c r="AO26" s="16">
        <f t="shared" si="66"/>
        <v>0.79564289665150478</v>
      </c>
      <c r="AP26" s="16">
        <f t="shared" si="67"/>
        <v>0.90023202869962393</v>
      </c>
      <c r="AQ26" s="16">
        <f t="shared" si="68"/>
        <v>1.0000000000000002</v>
      </c>
    </row>
    <row r="27" spans="2:43" x14ac:dyDescent="0.25">
      <c r="B27" s="3" t="s">
        <v>66</v>
      </c>
      <c r="C27" s="3" t="s">
        <v>67</v>
      </c>
      <c r="D27" s="3" cm="1">
        <f t="array" ref="D27">VLOOKUP($C27,BD!$C:$X,BD!G$1-1,FALSE)</f>
        <v>24</v>
      </c>
      <c r="E27" s="18">
        <f t="shared" si="42"/>
        <v>1757.1428575</v>
      </c>
      <c r="F27" s="18">
        <f t="shared" si="43"/>
        <v>42171.42858</v>
      </c>
      <c r="G27" s="38">
        <v>4881.662614285714</v>
      </c>
      <c r="H27" s="38">
        <v>4515.1821599999994</v>
      </c>
      <c r="I27" s="38">
        <v>4191.5877085714292</v>
      </c>
      <c r="J27" s="38">
        <v>3531.3052285714284</v>
      </c>
      <c r="K27" s="38">
        <v>2810.4599400000002</v>
      </c>
      <c r="L27" s="38">
        <v>2242.7942742857144</v>
      </c>
      <c r="M27" s="38">
        <v>2087.0401971428569</v>
      </c>
      <c r="N27" s="38">
        <v>1893.9566400000003</v>
      </c>
      <c r="O27" s="38">
        <v>2873.5339028571429</v>
      </c>
      <c r="P27" s="38">
        <v>3963.8124085714285</v>
      </c>
      <c r="Q27" s="38">
        <v>4141.4492828571438</v>
      </c>
      <c r="R27" s="38">
        <v>5038.6442228571423</v>
      </c>
      <c r="S27" s="19">
        <f t="shared" si="44"/>
        <v>0.99999999999999989</v>
      </c>
      <c r="T27" s="16">
        <f t="shared" si="45"/>
        <v>0.1157575822935452</v>
      </c>
      <c r="U27" s="16">
        <f t="shared" si="46"/>
        <v>0.10706732762051475</v>
      </c>
      <c r="V27" s="16">
        <f t="shared" si="47"/>
        <v>9.939401745947278E-2</v>
      </c>
      <c r="W27" s="16">
        <f t="shared" si="48"/>
        <v>8.3736912584606318E-2</v>
      </c>
      <c r="X27" s="16">
        <f t="shared" si="49"/>
        <v>6.6643697750682185E-2</v>
      </c>
      <c r="Y27" s="16">
        <f t="shared" si="50"/>
        <v>5.3182791046101061E-2</v>
      </c>
      <c r="Z27" s="16">
        <f t="shared" si="51"/>
        <v>4.9489435559046856E-2</v>
      </c>
      <c r="AA27" s="16">
        <f t="shared" si="52"/>
        <v>4.4910895925831126E-2</v>
      </c>
      <c r="AB27" s="16">
        <f t="shared" si="53"/>
        <v>6.8139354051191189E-2</v>
      </c>
      <c r="AC27" s="16">
        <f t="shared" si="54"/>
        <v>9.3992841647562428E-2</v>
      </c>
      <c r="AD27" s="16">
        <f t="shared" si="55"/>
        <v>9.8205098150771344E-2</v>
      </c>
      <c r="AE27" s="16">
        <f t="shared" si="56"/>
        <v>0.11948004591067478</v>
      </c>
      <c r="AF27" s="16">
        <f t="shared" si="57"/>
        <v>0.1157575822935452</v>
      </c>
      <c r="AG27" s="16">
        <f t="shared" si="58"/>
        <v>0.22282490991405995</v>
      </c>
      <c r="AH27" s="16">
        <f t="shared" si="59"/>
        <v>0.32221892737353275</v>
      </c>
      <c r="AI27" s="16">
        <f t="shared" si="60"/>
        <v>0.40595583995813905</v>
      </c>
      <c r="AJ27" s="16">
        <f t="shared" si="61"/>
        <v>0.47259953770882124</v>
      </c>
      <c r="AK27" s="16">
        <f t="shared" si="62"/>
        <v>0.52578232875492226</v>
      </c>
      <c r="AL27" s="16">
        <f t="shared" si="63"/>
        <v>0.57527176431396909</v>
      </c>
      <c r="AM27" s="16">
        <f t="shared" si="64"/>
        <v>0.62018266023980018</v>
      </c>
      <c r="AN27" s="16">
        <f t="shared" si="65"/>
        <v>0.68832201429099138</v>
      </c>
      <c r="AO27" s="16">
        <f t="shared" si="66"/>
        <v>0.78231485593855377</v>
      </c>
      <c r="AP27" s="16">
        <f t="shared" si="67"/>
        <v>0.88051995408932515</v>
      </c>
      <c r="AQ27" s="16">
        <f t="shared" si="68"/>
        <v>0.99999999999999989</v>
      </c>
    </row>
    <row r="28" spans="2:43" x14ac:dyDescent="0.25">
      <c r="B28" s="3" t="s">
        <v>61</v>
      </c>
      <c r="C28" s="3" t="s">
        <v>62</v>
      </c>
      <c r="D28" s="3" cm="1">
        <f t="array" ref="D28">VLOOKUP($C28,BD!$C:$X,BD!G$1-1,FALSE)</f>
        <v>8</v>
      </c>
      <c r="E28" s="18">
        <f t="shared" si="42"/>
        <v>2188.8888888888891</v>
      </c>
      <c r="F28" s="18">
        <f t="shared" si="43"/>
        <v>17511.111111111113</v>
      </c>
      <c r="G28" s="38">
        <v>2055.9448888888892</v>
      </c>
      <c r="H28" s="38">
        <v>1911.7368888888891</v>
      </c>
      <c r="I28" s="38">
        <v>1669.3008888888889</v>
      </c>
      <c r="J28" s="38">
        <v>1447.2417777777778</v>
      </c>
      <c r="K28" s="38">
        <v>1241.9026666666666</v>
      </c>
      <c r="L28" s="38">
        <v>996.85422222222223</v>
      </c>
      <c r="M28" s="38">
        <v>914.30044444444445</v>
      </c>
      <c r="N28" s="38">
        <v>824.43200000000002</v>
      </c>
      <c r="O28" s="38">
        <v>1138.4493333333332</v>
      </c>
      <c r="P28" s="38">
        <v>1500.0137777777777</v>
      </c>
      <c r="Q28" s="38">
        <v>1749.2422222222222</v>
      </c>
      <c r="R28" s="38">
        <v>2061.692</v>
      </c>
      <c r="S28" s="19">
        <f t="shared" si="44"/>
        <v>0.99999999999999989</v>
      </c>
      <c r="T28" s="16">
        <f t="shared" si="45"/>
        <v>0.11740802030456853</v>
      </c>
      <c r="U28" s="16">
        <f t="shared" si="46"/>
        <v>0.10917279187817258</v>
      </c>
      <c r="V28" s="16">
        <f t="shared" si="47"/>
        <v>9.5328096446700497E-2</v>
      </c>
      <c r="W28" s="16">
        <f t="shared" si="48"/>
        <v>8.2647055837563446E-2</v>
      </c>
      <c r="X28" s="16">
        <f t="shared" si="49"/>
        <v>7.0920837563451772E-2</v>
      </c>
      <c r="Y28" s="16">
        <f t="shared" si="50"/>
        <v>5.6926954314720807E-2</v>
      </c>
      <c r="Z28" s="16">
        <f t="shared" si="51"/>
        <v>5.2212588832487306E-2</v>
      </c>
      <c r="AA28" s="16">
        <f t="shared" si="52"/>
        <v>4.7080507614213195E-2</v>
      </c>
      <c r="AB28" s="16">
        <f t="shared" si="53"/>
        <v>6.5012969543147198E-2</v>
      </c>
      <c r="AC28" s="16">
        <f t="shared" si="54"/>
        <v>8.5660685279187798E-2</v>
      </c>
      <c r="AD28" s="16">
        <f t="shared" si="55"/>
        <v>9.9893274111675118E-2</v>
      </c>
      <c r="AE28" s="16">
        <f t="shared" si="56"/>
        <v>0.11773621827411167</v>
      </c>
      <c r="AF28" s="16">
        <f t="shared" si="57"/>
        <v>0.11740802030456853</v>
      </c>
      <c r="AG28" s="16">
        <f t="shared" si="58"/>
        <v>0.22658081218274112</v>
      </c>
      <c r="AH28" s="16">
        <f t="shared" si="59"/>
        <v>0.3219089086294416</v>
      </c>
      <c r="AI28" s="16">
        <f t="shared" si="60"/>
        <v>0.40455596446700504</v>
      </c>
      <c r="AJ28" s="16">
        <f t="shared" si="61"/>
        <v>0.47547680203045684</v>
      </c>
      <c r="AK28" s="16">
        <f t="shared" si="62"/>
        <v>0.53240375634517767</v>
      </c>
      <c r="AL28" s="16">
        <f t="shared" si="63"/>
        <v>0.58461634517766492</v>
      </c>
      <c r="AM28" s="16">
        <f t="shared" si="64"/>
        <v>0.63169685279187815</v>
      </c>
      <c r="AN28" s="16">
        <f t="shared" si="65"/>
        <v>0.69670982233502532</v>
      </c>
      <c r="AO28" s="16">
        <f t="shared" si="66"/>
        <v>0.78237050761421312</v>
      </c>
      <c r="AP28" s="16">
        <f t="shared" si="67"/>
        <v>0.88226378172588826</v>
      </c>
      <c r="AQ28" s="16">
        <f t="shared" si="68"/>
        <v>0.99999999999999989</v>
      </c>
    </row>
    <row r="29" spans="2:43" x14ac:dyDescent="0.25">
      <c r="B29" s="3" t="s">
        <v>72</v>
      </c>
      <c r="C29" s="3" t="str">
        <f>B29</f>
        <v>Avignonet-Lauragais PV</v>
      </c>
      <c r="D29" s="3" cm="1">
        <f t="array" ref="D29">VLOOKUP($C29,BD!$C:$X,BD!G$1-1,FALSE)</f>
        <v>4.5</v>
      </c>
      <c r="E29" s="18">
        <f t="shared" si="42"/>
        <v>1334.5777777777776</v>
      </c>
      <c r="F29" s="18">
        <f t="shared" si="43"/>
        <v>6005.5999999999995</v>
      </c>
      <c r="G29" s="38">
        <v>255.9</v>
      </c>
      <c r="H29" s="38">
        <v>342.3</v>
      </c>
      <c r="I29" s="38">
        <v>536.4</v>
      </c>
      <c r="J29" s="38">
        <v>593.79999999999995</v>
      </c>
      <c r="K29" s="38">
        <v>649.1</v>
      </c>
      <c r="L29" s="38">
        <v>682</v>
      </c>
      <c r="M29" s="38">
        <v>718.5</v>
      </c>
      <c r="N29" s="38">
        <v>681.4</v>
      </c>
      <c r="O29" s="38">
        <v>574.5</v>
      </c>
      <c r="P29" s="38">
        <v>453.6</v>
      </c>
      <c r="Q29" s="38">
        <v>276.7</v>
      </c>
      <c r="R29" s="38">
        <v>241.4</v>
      </c>
      <c r="S29" s="19">
        <f t="shared" si="44"/>
        <v>1.0000000000000002</v>
      </c>
      <c r="T29" s="16">
        <f t="shared" si="45"/>
        <v>4.261023045157853E-2</v>
      </c>
      <c r="U29" s="16">
        <f t="shared" si="46"/>
        <v>5.6996802983881718E-2</v>
      </c>
      <c r="V29" s="16">
        <f t="shared" si="47"/>
        <v>8.9316637804715604E-2</v>
      </c>
      <c r="W29" s="16">
        <f t="shared" si="48"/>
        <v>9.8874383908352209E-2</v>
      </c>
      <c r="X29" s="16">
        <f t="shared" si="49"/>
        <v>0.10808245637405089</v>
      </c>
      <c r="Y29" s="16">
        <f t="shared" si="50"/>
        <v>0.11356067670174505</v>
      </c>
      <c r="Z29" s="16">
        <f t="shared" si="51"/>
        <v>0.1196383375516185</v>
      </c>
      <c r="AA29" s="16">
        <f t="shared" si="52"/>
        <v>0.11346076994804849</v>
      </c>
      <c r="AB29" s="16">
        <f t="shared" si="53"/>
        <v>9.5660716664446518E-2</v>
      </c>
      <c r="AC29" s="16">
        <f t="shared" si="54"/>
        <v>7.5529505794591723E-2</v>
      </c>
      <c r="AD29" s="16">
        <f t="shared" si="55"/>
        <v>4.6073664579725594E-2</v>
      </c>
      <c r="AE29" s="16">
        <f t="shared" si="56"/>
        <v>4.0195817237245239E-2</v>
      </c>
      <c r="AF29" s="16">
        <f t="shared" si="57"/>
        <v>4.261023045157853E-2</v>
      </c>
      <c r="AG29" s="16">
        <f t="shared" si="58"/>
        <v>9.9607033435460249E-2</v>
      </c>
      <c r="AH29" s="16">
        <f t="shared" si="59"/>
        <v>0.18892367124017584</v>
      </c>
      <c r="AI29" s="16">
        <f t="shared" si="60"/>
        <v>0.28779805514852808</v>
      </c>
      <c r="AJ29" s="16">
        <f t="shared" si="61"/>
        <v>0.39588051152257897</v>
      </c>
      <c r="AK29" s="16">
        <f t="shared" si="62"/>
        <v>0.50944118822432405</v>
      </c>
      <c r="AL29" s="16">
        <f t="shared" si="63"/>
        <v>0.62907952577594251</v>
      </c>
      <c r="AM29" s="16">
        <f t="shared" si="64"/>
        <v>0.74254029572399105</v>
      </c>
      <c r="AN29" s="16">
        <f t="shared" si="65"/>
        <v>0.83820101238843758</v>
      </c>
      <c r="AO29" s="16">
        <f t="shared" si="66"/>
        <v>0.91373051818302931</v>
      </c>
      <c r="AP29" s="16">
        <f t="shared" si="67"/>
        <v>0.95980418276275492</v>
      </c>
      <c r="AQ29" s="16">
        <f t="shared" si="68"/>
        <v>1.0000000000000002</v>
      </c>
    </row>
    <row r="30" spans="2:43" x14ac:dyDescent="0.25">
      <c r="B30" s="3" t="s">
        <v>43</v>
      </c>
      <c r="C30" s="3" t="str">
        <f>B30</f>
        <v>Liegn ar Gasprenn</v>
      </c>
      <c r="D30" s="3" cm="1">
        <f t="array" ref="D30">VLOOKUP($C30,BD!$C:$X,BD!G$1-1,FALSE)</f>
        <v>8</v>
      </c>
      <c r="E30" s="18">
        <f t="shared" si="42"/>
        <v>1775.0001249999998</v>
      </c>
      <c r="F30" s="18">
        <f t="shared" si="43"/>
        <v>14200.000999999998</v>
      </c>
      <c r="G30" s="38">
        <v>1766.9949999999999</v>
      </c>
      <c r="H30" s="38">
        <v>1597.538</v>
      </c>
      <c r="I30" s="38">
        <v>1351.5</v>
      </c>
      <c r="J30" s="38">
        <v>1157.6030000000001</v>
      </c>
      <c r="K30" s="38">
        <v>971.85199999999998</v>
      </c>
      <c r="L30" s="38">
        <v>753.10599999999999</v>
      </c>
      <c r="M30" s="38">
        <v>655.75</v>
      </c>
      <c r="N30" s="38">
        <v>600.75800000000004</v>
      </c>
      <c r="O30" s="38">
        <v>896.08500000000004</v>
      </c>
      <c r="P30" s="38">
        <v>1236.221</v>
      </c>
      <c r="Q30" s="38">
        <v>1492.85</v>
      </c>
      <c r="R30" s="38">
        <v>1719.7429999999999</v>
      </c>
      <c r="S30" s="19">
        <f t="shared" si="44"/>
        <v>1</v>
      </c>
      <c r="T30" s="16">
        <f t="shared" si="45"/>
        <v>0.12443625884251699</v>
      </c>
      <c r="U30" s="16">
        <f t="shared" si="46"/>
        <v>0.11250266813361494</v>
      </c>
      <c r="V30" s="16">
        <f t="shared" si="47"/>
        <v>9.5176049635489479E-2</v>
      </c>
      <c r="W30" s="16">
        <f t="shared" si="48"/>
        <v>8.152133228723013E-2</v>
      </c>
      <c r="X30" s="16">
        <f t="shared" si="49"/>
        <v>6.844027687040305E-2</v>
      </c>
      <c r="Y30" s="16">
        <f t="shared" si="50"/>
        <v>5.3035630067913384E-2</v>
      </c>
      <c r="Z30" s="16">
        <f t="shared" si="51"/>
        <v>4.6179574212706048E-2</v>
      </c>
      <c r="AA30" s="16">
        <f t="shared" si="52"/>
        <v>4.2306898429091667E-2</v>
      </c>
      <c r="AB30" s="16">
        <f t="shared" si="53"/>
        <v>6.310457302080473E-2</v>
      </c>
      <c r="AC30" s="16">
        <f t="shared" si="54"/>
        <v>8.7057810770576713E-2</v>
      </c>
      <c r="AD30" s="16">
        <f t="shared" si="55"/>
        <v>0.10513027428660041</v>
      </c>
      <c r="AE30" s="16">
        <f t="shared" si="56"/>
        <v>0.12110865344305258</v>
      </c>
      <c r="AF30" s="16">
        <f t="shared" si="57"/>
        <v>0.12443625884251699</v>
      </c>
      <c r="AG30" s="16">
        <f t="shared" si="58"/>
        <v>0.23693892697613195</v>
      </c>
      <c r="AH30" s="16">
        <f t="shared" si="59"/>
        <v>0.33211497661162143</v>
      </c>
      <c r="AI30" s="16">
        <f t="shared" si="60"/>
        <v>0.41363630889885156</v>
      </c>
      <c r="AJ30" s="16">
        <f t="shared" si="61"/>
        <v>0.48207658576925461</v>
      </c>
      <c r="AK30" s="16">
        <f t="shared" si="62"/>
        <v>0.53511221583716795</v>
      </c>
      <c r="AL30" s="16">
        <f t="shared" si="63"/>
        <v>0.58129179004987397</v>
      </c>
      <c r="AM30" s="16">
        <f t="shared" si="64"/>
        <v>0.6235986884789656</v>
      </c>
      <c r="AN30" s="16">
        <f t="shared" si="65"/>
        <v>0.68670326149977035</v>
      </c>
      <c r="AO30" s="16">
        <f t="shared" si="66"/>
        <v>0.77376107227034707</v>
      </c>
      <c r="AP30" s="16">
        <f t="shared" si="67"/>
        <v>0.87889134655694745</v>
      </c>
      <c r="AQ30" s="16">
        <f t="shared" si="68"/>
        <v>1</v>
      </c>
    </row>
    <row r="31" spans="2:43" x14ac:dyDescent="0.25">
      <c r="B31" s="3" t="s">
        <v>76</v>
      </c>
      <c r="C31" s="3" t="str">
        <f>B31</f>
        <v>Charmoy</v>
      </c>
      <c r="D31" s="3" cm="1">
        <f t="array" ref="D31">VLOOKUP($C31,BD!$C:$X,BD!G$1-1,FALSE)</f>
        <v>10</v>
      </c>
      <c r="E31" s="18">
        <f t="shared" si="42"/>
        <v>2344.0000999999997</v>
      </c>
      <c r="F31" s="18">
        <f t="shared" si="43"/>
        <v>23440.000999999997</v>
      </c>
      <c r="G31" s="38">
        <v>2743.357</v>
      </c>
      <c r="H31" s="38">
        <v>2502.3560000000002</v>
      </c>
      <c r="I31" s="38">
        <v>2216.6750000000002</v>
      </c>
      <c r="J31" s="38">
        <v>1863.296</v>
      </c>
      <c r="K31" s="38">
        <v>1598.6010000000001</v>
      </c>
      <c r="L31" s="38">
        <v>1280.4259999999999</v>
      </c>
      <c r="M31" s="38">
        <v>1253.347</v>
      </c>
      <c r="N31" s="38">
        <v>1163.9870000000001</v>
      </c>
      <c r="O31" s="38">
        <v>1581</v>
      </c>
      <c r="P31" s="38">
        <v>2139.5</v>
      </c>
      <c r="Q31" s="38">
        <v>2300.6190000000001</v>
      </c>
      <c r="R31" s="38">
        <v>2796.837</v>
      </c>
      <c r="S31" s="19">
        <f t="shared" si="44"/>
        <v>1.0000000000000002</v>
      </c>
      <c r="T31" s="16">
        <f t="shared" si="45"/>
        <v>0.11703740968270437</v>
      </c>
      <c r="U31" s="16">
        <f t="shared" si="46"/>
        <v>0.10675579749335337</v>
      </c>
      <c r="V31" s="16">
        <f t="shared" si="47"/>
        <v>9.456804204061256E-2</v>
      </c>
      <c r="W31" s="16">
        <f t="shared" si="48"/>
        <v>7.9492146779345282E-2</v>
      </c>
      <c r="X31" s="16">
        <f t="shared" si="49"/>
        <v>6.8199698455644275E-2</v>
      </c>
      <c r="Y31" s="16">
        <f t="shared" si="50"/>
        <v>5.4625680263409547E-2</v>
      </c>
      <c r="Z31" s="16">
        <f t="shared" si="51"/>
        <v>5.3470432872421814E-2</v>
      </c>
      <c r="AA31" s="16">
        <f t="shared" si="52"/>
        <v>4.965814634564223E-2</v>
      </c>
      <c r="AB31" s="16">
        <f t="shared" si="53"/>
        <v>6.7448802583242221E-2</v>
      </c>
      <c r="AC31" s="16">
        <f t="shared" si="54"/>
        <v>9.1275593375614625E-2</v>
      </c>
      <c r="AD31" s="16">
        <f t="shared" si="55"/>
        <v>9.814927055677175E-2</v>
      </c>
      <c r="AE31" s="16">
        <f t="shared" si="56"/>
        <v>0.11931897955123809</v>
      </c>
      <c r="AF31" s="16">
        <f t="shared" si="57"/>
        <v>0.11703740968270437</v>
      </c>
      <c r="AG31" s="16">
        <f t="shared" si="58"/>
        <v>0.22379320717605775</v>
      </c>
      <c r="AH31" s="16">
        <f t="shared" si="59"/>
        <v>0.31836124921667031</v>
      </c>
      <c r="AI31" s="16">
        <f t="shared" si="60"/>
        <v>0.3978533959960156</v>
      </c>
      <c r="AJ31" s="16">
        <f t="shared" si="61"/>
        <v>0.46605309445165988</v>
      </c>
      <c r="AK31" s="16">
        <f t="shared" si="62"/>
        <v>0.5206787747150694</v>
      </c>
      <c r="AL31" s="16">
        <f t="shared" si="63"/>
        <v>0.57414920758749122</v>
      </c>
      <c r="AM31" s="16">
        <f t="shared" si="64"/>
        <v>0.62380735393313347</v>
      </c>
      <c r="AN31" s="16">
        <f t="shared" si="65"/>
        <v>0.69125615651637573</v>
      </c>
      <c r="AO31" s="16">
        <f t="shared" si="66"/>
        <v>0.78253174989199037</v>
      </c>
      <c r="AP31" s="16">
        <f t="shared" si="67"/>
        <v>0.88068102044876206</v>
      </c>
      <c r="AQ31" s="16">
        <f t="shared" si="68"/>
        <v>1.0000000000000002</v>
      </c>
    </row>
    <row r="32" spans="2:43" ht="19.5" x14ac:dyDescent="0.25">
      <c r="B32" s="3" t="s">
        <v>74</v>
      </c>
      <c r="C32" s="3" t="s">
        <v>75</v>
      </c>
      <c r="D32" s="3" cm="1">
        <f t="array" ref="D32">VLOOKUP($C32,BD!$C:$X,BD!G$1-1,FALSE)</f>
        <v>36</v>
      </c>
      <c r="E32" s="18">
        <f t="shared" si="42"/>
        <v>2127.7777775</v>
      </c>
      <c r="F32" s="18">
        <f t="shared" si="43"/>
        <v>76599.999989999997</v>
      </c>
      <c r="G32" s="38">
        <v>9264.6682100000016</v>
      </c>
      <c r="H32" s="38">
        <v>8751.4680700000008</v>
      </c>
      <c r="I32" s="38">
        <v>7414.3227500000003</v>
      </c>
      <c r="J32" s="38">
        <v>6342.4267399999999</v>
      </c>
      <c r="K32" s="38">
        <v>5130.12554</v>
      </c>
      <c r="L32" s="38">
        <v>4043.7171600000001</v>
      </c>
      <c r="M32" s="38">
        <v>3640.3938700000003</v>
      </c>
      <c r="N32" s="38">
        <v>3320.9991299999997</v>
      </c>
      <c r="O32" s="38">
        <v>4778.0919199999998</v>
      </c>
      <c r="P32" s="38">
        <v>6708.4484499999999</v>
      </c>
      <c r="Q32" s="38">
        <v>7888.1107699999993</v>
      </c>
      <c r="R32" s="38">
        <v>9317.2273800000003</v>
      </c>
      <c r="S32" s="19">
        <f t="shared" si="44"/>
        <v>1</v>
      </c>
      <c r="T32" s="16">
        <f t="shared" si="45"/>
        <v>0.12094867116461473</v>
      </c>
      <c r="U32" s="16">
        <f t="shared" si="46"/>
        <v>0.11424893043266959</v>
      </c>
      <c r="V32" s="16">
        <f t="shared" si="47"/>
        <v>9.6792725208458594E-2</v>
      </c>
      <c r="W32" s="16">
        <f t="shared" si="48"/>
        <v>8.2799304710548208E-2</v>
      </c>
      <c r="X32" s="16">
        <f t="shared" si="49"/>
        <v>6.6972918285505612E-2</v>
      </c>
      <c r="Y32" s="16">
        <f t="shared" si="50"/>
        <v>5.2790041260155365E-2</v>
      </c>
      <c r="Z32" s="16">
        <f t="shared" si="51"/>
        <v>4.7524724157640308E-2</v>
      </c>
      <c r="AA32" s="16">
        <f t="shared" si="52"/>
        <v>4.3355080031769591E-2</v>
      </c>
      <c r="AB32" s="16">
        <f t="shared" si="53"/>
        <v>6.2377179120414773E-2</v>
      </c>
      <c r="AC32" s="16">
        <f t="shared" si="54"/>
        <v>8.7577656016655042E-2</v>
      </c>
      <c r="AD32" s="16">
        <f t="shared" si="55"/>
        <v>0.10297794740247754</v>
      </c>
      <c r="AE32" s="16">
        <f t="shared" si="56"/>
        <v>0.12163482220909072</v>
      </c>
      <c r="AF32" s="16">
        <f t="shared" si="57"/>
        <v>0.12094867116461473</v>
      </c>
      <c r="AG32" s="16">
        <f t="shared" si="58"/>
        <v>0.23519760159728431</v>
      </c>
      <c r="AH32" s="16">
        <f t="shared" si="59"/>
        <v>0.33199032680574292</v>
      </c>
      <c r="AI32" s="16">
        <f t="shared" si="60"/>
        <v>0.41478963151629111</v>
      </c>
      <c r="AJ32" s="16">
        <f t="shared" si="61"/>
        <v>0.48176254980179672</v>
      </c>
      <c r="AK32" s="16">
        <f t="shared" si="62"/>
        <v>0.53455259106195208</v>
      </c>
      <c r="AL32" s="16">
        <f t="shared" si="63"/>
        <v>0.58207731521959238</v>
      </c>
      <c r="AM32" s="16">
        <f t="shared" si="64"/>
        <v>0.62543239525136196</v>
      </c>
      <c r="AN32" s="16">
        <f t="shared" si="65"/>
        <v>0.6878095743717767</v>
      </c>
      <c r="AO32" s="16">
        <f t="shared" si="66"/>
        <v>0.77538723038843171</v>
      </c>
      <c r="AP32" s="16">
        <f t="shared" si="67"/>
        <v>0.87836517779090928</v>
      </c>
      <c r="AQ32" s="16">
        <f t="shared" si="68"/>
        <v>1</v>
      </c>
    </row>
    <row r="33" spans="2:43" x14ac:dyDescent="0.25">
      <c r="B33" s="3" t="s">
        <v>77</v>
      </c>
      <c r="C33" s="3" t="s">
        <v>78</v>
      </c>
      <c r="D33" s="3" cm="1">
        <f t="array" ref="D33">VLOOKUP($C33,BD!$C:$X,BD!G$1-1,FALSE)</f>
        <v>18</v>
      </c>
      <c r="E33" s="18">
        <f t="shared" si="42"/>
        <v>2282.7777772222225</v>
      </c>
      <c r="F33" s="18">
        <f t="shared" si="43"/>
        <v>41089.999990000004</v>
      </c>
      <c r="G33" s="38">
        <v>4484.9371100000026</v>
      </c>
      <c r="H33" s="38">
        <v>4380.6752100000003</v>
      </c>
      <c r="I33" s="38">
        <v>4004.3549400000002</v>
      </c>
      <c r="J33" s="38">
        <v>3579.1619100000003</v>
      </c>
      <c r="K33" s="38">
        <v>2977.2123799999999</v>
      </c>
      <c r="L33" s="38">
        <v>2508.03386</v>
      </c>
      <c r="M33" s="38">
        <v>2384.2228700000001</v>
      </c>
      <c r="N33" s="38">
        <v>2117.05177</v>
      </c>
      <c r="O33" s="38">
        <v>2767.8740499999999</v>
      </c>
      <c r="P33" s="38">
        <v>3337.0897200000004</v>
      </c>
      <c r="Q33" s="38">
        <v>4234.30645</v>
      </c>
      <c r="R33" s="38">
        <v>4315.0797199999997</v>
      </c>
      <c r="S33" s="19">
        <f t="shared" si="44"/>
        <v>1</v>
      </c>
      <c r="T33" s="16">
        <f t="shared" si="45"/>
        <v>0.10914911440962505</v>
      </c>
      <c r="U33" s="16">
        <f t="shared" si="46"/>
        <v>0.10661171114787338</v>
      </c>
      <c r="V33" s="16">
        <f t="shared" si="47"/>
        <v>9.7453271866014421E-2</v>
      </c>
      <c r="W33" s="16">
        <f t="shared" si="48"/>
        <v>8.7105424942104021E-2</v>
      </c>
      <c r="X33" s="16">
        <f t="shared" si="49"/>
        <v>7.2455886608044751E-2</v>
      </c>
      <c r="Y33" s="16">
        <f t="shared" si="50"/>
        <v>6.103757266026711E-2</v>
      </c>
      <c r="Z33" s="16">
        <f t="shared" si="51"/>
        <v>5.8024406682410413E-2</v>
      </c>
      <c r="AA33" s="16">
        <f t="shared" si="52"/>
        <v>5.1522311280487294E-2</v>
      </c>
      <c r="AB33" s="16">
        <f t="shared" si="53"/>
        <v>6.73612570132298E-2</v>
      </c>
      <c r="AC33" s="16">
        <f t="shared" si="54"/>
        <v>8.121415723563255E-2</v>
      </c>
      <c r="AD33" s="16">
        <f t="shared" si="55"/>
        <v>0.1030495607454489</v>
      </c>
      <c r="AE33" s="16">
        <f t="shared" si="56"/>
        <v>0.10501532540886231</v>
      </c>
      <c r="AF33" s="16">
        <f t="shared" si="57"/>
        <v>0.10914911440962505</v>
      </c>
      <c r="AG33" s="16">
        <f t="shared" si="58"/>
        <v>0.21576082555749843</v>
      </c>
      <c r="AH33" s="16">
        <f t="shared" si="59"/>
        <v>0.31321409742351286</v>
      </c>
      <c r="AI33" s="16">
        <f t="shared" si="60"/>
        <v>0.40031952236561685</v>
      </c>
      <c r="AJ33" s="16">
        <f t="shared" si="61"/>
        <v>0.4727754089736616</v>
      </c>
      <c r="AK33" s="16">
        <f t="shared" si="62"/>
        <v>0.53381298163392876</v>
      </c>
      <c r="AL33" s="16">
        <f t="shared" si="63"/>
        <v>0.59183738831633914</v>
      </c>
      <c r="AM33" s="16">
        <f t="shared" si="64"/>
        <v>0.64335969959682648</v>
      </c>
      <c r="AN33" s="16">
        <f t="shared" si="65"/>
        <v>0.7107209566100563</v>
      </c>
      <c r="AO33" s="16">
        <f t="shared" si="66"/>
        <v>0.79193511384568882</v>
      </c>
      <c r="AP33" s="16">
        <f t="shared" si="67"/>
        <v>0.89498467459113773</v>
      </c>
      <c r="AQ33" s="16">
        <f t="shared" si="68"/>
        <v>1</v>
      </c>
    </row>
    <row r="34" spans="2:43" x14ac:dyDescent="0.25">
      <c r="B34" s="3" t="s">
        <v>80</v>
      </c>
      <c r="C34" s="3" t="str">
        <f>B34</f>
        <v xml:space="preserve">Vron  </v>
      </c>
      <c r="D34" s="3" cm="1">
        <f t="array" ref="D34">VLOOKUP($C34,BD!$C:$X,BD!G$1-1,FALSE)</f>
        <v>8</v>
      </c>
      <c r="E34" s="18">
        <f t="shared" si="42"/>
        <v>2387.5</v>
      </c>
      <c r="F34" s="18">
        <f t="shared" si="43"/>
        <v>19100</v>
      </c>
      <c r="G34" s="38">
        <v>2333.1652868210431</v>
      </c>
      <c r="H34" s="38">
        <v>2050.0777927738181</v>
      </c>
      <c r="I34" s="38">
        <v>1773.1034660439645</v>
      </c>
      <c r="J34" s="38">
        <v>1349.4121511920648</v>
      </c>
      <c r="K34" s="38">
        <v>1276.5238633667957</v>
      </c>
      <c r="L34" s="38">
        <v>1049.3952876474179</v>
      </c>
      <c r="M34" s="38">
        <v>1060.6812098106523</v>
      </c>
      <c r="N34" s="38">
        <v>1047.0447427212191</v>
      </c>
      <c r="O34" s="38">
        <v>1281.6966182126589</v>
      </c>
      <c r="P34" s="38">
        <v>1772.1620810673157</v>
      </c>
      <c r="Q34" s="38">
        <v>1894.8961199030609</v>
      </c>
      <c r="R34" s="38">
        <v>2211.8413804399888</v>
      </c>
      <c r="S34" s="19">
        <f t="shared" si="44"/>
        <v>1</v>
      </c>
      <c r="T34" s="16">
        <f t="shared" si="45"/>
        <v>0.12215525061890278</v>
      </c>
      <c r="U34" s="16">
        <f t="shared" si="46"/>
        <v>0.10733391585203236</v>
      </c>
      <c r="V34" s="16">
        <f t="shared" si="47"/>
        <v>9.2832642201254686E-2</v>
      </c>
      <c r="W34" s="16">
        <f t="shared" si="48"/>
        <v>7.0649850847752091E-2</v>
      </c>
      <c r="X34" s="16">
        <f t="shared" si="49"/>
        <v>6.6833710123916007E-2</v>
      </c>
      <c r="Y34" s="16">
        <f t="shared" si="50"/>
        <v>5.4942161656932879E-2</v>
      </c>
      <c r="Z34" s="16">
        <f t="shared" si="51"/>
        <v>5.5533047634065566E-2</v>
      </c>
      <c r="AA34" s="16">
        <f t="shared" si="52"/>
        <v>5.481909647755074E-2</v>
      </c>
      <c r="AB34" s="16">
        <f t="shared" si="53"/>
        <v>6.7104534984955957E-2</v>
      </c>
      <c r="AC34" s="16">
        <f t="shared" si="54"/>
        <v>9.2783355029702391E-2</v>
      </c>
      <c r="AD34" s="16">
        <f t="shared" si="55"/>
        <v>9.9209220937333031E-2</v>
      </c>
      <c r="AE34" s="16">
        <f t="shared" si="56"/>
        <v>0.1158032136356015</v>
      </c>
      <c r="AF34" s="16">
        <f t="shared" si="57"/>
        <v>0.12215525061890278</v>
      </c>
      <c r="AG34" s="16">
        <f t="shared" si="58"/>
        <v>0.22948916647093515</v>
      </c>
      <c r="AH34" s="16">
        <f t="shared" si="59"/>
        <v>0.32232180867218985</v>
      </c>
      <c r="AI34" s="16">
        <f t="shared" si="60"/>
        <v>0.39297165951994195</v>
      </c>
      <c r="AJ34" s="16">
        <f t="shared" si="61"/>
        <v>0.45980536964385799</v>
      </c>
      <c r="AK34" s="16">
        <f t="shared" si="62"/>
        <v>0.51474753130079087</v>
      </c>
      <c r="AL34" s="16">
        <f t="shared" si="63"/>
        <v>0.5702805789348564</v>
      </c>
      <c r="AM34" s="16">
        <f t="shared" si="64"/>
        <v>0.62509967541240719</v>
      </c>
      <c r="AN34" s="16">
        <f t="shared" si="65"/>
        <v>0.69220421039736313</v>
      </c>
      <c r="AO34" s="16">
        <f t="shared" si="66"/>
        <v>0.78498756542706549</v>
      </c>
      <c r="AP34" s="16">
        <f t="shared" si="67"/>
        <v>0.88419678636439847</v>
      </c>
      <c r="AQ34" s="16">
        <f t="shared" si="68"/>
        <v>1</v>
      </c>
    </row>
    <row r="35" spans="2:43" ht="19.5" x14ac:dyDescent="0.25">
      <c r="B35" s="3" t="s">
        <v>81</v>
      </c>
      <c r="C35" s="3" t="s">
        <v>82</v>
      </c>
      <c r="D35" s="3" cm="1">
        <f t="array" ref="D35">VLOOKUP($C35,BD!$C:$X,BD!G$1-1,FALSE)</f>
        <v>32</v>
      </c>
      <c r="E35" s="18">
        <f t="shared" si="42"/>
        <v>1982.8124374999998</v>
      </c>
      <c r="F35" s="18">
        <f t="shared" si="43"/>
        <v>63449.997999999992</v>
      </c>
      <c r="G35" s="38">
        <v>7280.915</v>
      </c>
      <c r="H35" s="38">
        <v>6817.0479999999998</v>
      </c>
      <c r="I35" s="38">
        <v>6067.0039999999999</v>
      </c>
      <c r="J35" s="38">
        <v>5440.4080000000004</v>
      </c>
      <c r="K35" s="38">
        <v>4409.7979999999998</v>
      </c>
      <c r="L35" s="38">
        <v>3631.6970000000001</v>
      </c>
      <c r="M35" s="38">
        <v>3470.84</v>
      </c>
      <c r="N35" s="38">
        <v>3149.125</v>
      </c>
      <c r="O35" s="38">
        <v>4164.7709999999997</v>
      </c>
      <c r="P35" s="38">
        <v>5421.7039999999997</v>
      </c>
      <c r="Q35" s="38">
        <v>6173.6189999999997</v>
      </c>
      <c r="R35" s="38">
        <v>7423.0690000000004</v>
      </c>
      <c r="S35" s="19">
        <f t="shared" si="44"/>
        <v>1</v>
      </c>
      <c r="T35" s="16">
        <f t="shared" si="45"/>
        <v>0.11475043702917061</v>
      </c>
      <c r="U35" s="16">
        <f t="shared" si="46"/>
        <v>0.10743968817776796</v>
      </c>
      <c r="V35" s="16">
        <f t="shared" si="47"/>
        <v>9.5618663376474816E-2</v>
      </c>
      <c r="W35" s="16">
        <f t="shared" si="48"/>
        <v>8.5743233593167351E-2</v>
      </c>
      <c r="X35" s="16">
        <f t="shared" si="49"/>
        <v>6.950036468086257E-2</v>
      </c>
      <c r="Y35" s="16">
        <f t="shared" si="50"/>
        <v>5.7237149164291554E-2</v>
      </c>
      <c r="Z35" s="16">
        <f t="shared" si="51"/>
        <v>5.4701971779415985E-2</v>
      </c>
      <c r="AA35" s="16">
        <f t="shared" si="52"/>
        <v>4.9631601249223056E-2</v>
      </c>
      <c r="AB35" s="16">
        <f t="shared" si="53"/>
        <v>6.5638630910595144E-2</v>
      </c>
      <c r="AC35" s="16">
        <f t="shared" si="54"/>
        <v>8.5448450289943273E-2</v>
      </c>
      <c r="AD35" s="16">
        <f t="shared" si="55"/>
        <v>9.72989628778239E-2</v>
      </c>
      <c r="AE35" s="16">
        <f t="shared" si="56"/>
        <v>0.1169908468712639</v>
      </c>
      <c r="AF35" s="16">
        <f t="shared" si="57"/>
        <v>0.11475043702917061</v>
      </c>
      <c r="AG35" s="16">
        <f t="shared" si="58"/>
        <v>0.22219012520693857</v>
      </c>
      <c r="AH35" s="16">
        <f t="shared" si="59"/>
        <v>0.31780878858341338</v>
      </c>
      <c r="AI35" s="16">
        <f t="shared" si="60"/>
        <v>0.4035520221765807</v>
      </c>
      <c r="AJ35" s="16">
        <f t="shared" si="61"/>
        <v>0.47305238685744327</v>
      </c>
      <c r="AK35" s="16">
        <f t="shared" si="62"/>
        <v>0.53028953602173479</v>
      </c>
      <c r="AL35" s="16">
        <f t="shared" si="63"/>
        <v>0.58499150780115072</v>
      </c>
      <c r="AM35" s="16">
        <f t="shared" si="64"/>
        <v>0.63462310905037378</v>
      </c>
      <c r="AN35" s="16">
        <f t="shared" si="65"/>
        <v>0.70026173996096897</v>
      </c>
      <c r="AO35" s="16">
        <f t="shared" si="66"/>
        <v>0.78571019025091227</v>
      </c>
      <c r="AP35" s="16">
        <f t="shared" si="67"/>
        <v>0.88300915312873618</v>
      </c>
      <c r="AQ35" s="16">
        <f t="shared" si="68"/>
        <v>1</v>
      </c>
    </row>
    <row r="36" spans="2:43" x14ac:dyDescent="0.25">
      <c r="B36" s="3" t="s">
        <v>79</v>
      </c>
      <c r="C36" s="3" t="str">
        <f>B36</f>
        <v>Haut de Conge 2</v>
      </c>
      <c r="D36" s="3" cm="1">
        <f t="array" ref="D36">VLOOKUP($C36,BD!$C:$X,BD!G$1-1,FALSE)</f>
        <v>4</v>
      </c>
      <c r="E36" s="18">
        <f t="shared" si="42"/>
        <v>1757.1428575000002</v>
      </c>
      <c r="F36" s="18">
        <f t="shared" si="43"/>
        <v>7028.5714300000009</v>
      </c>
      <c r="G36" s="38">
        <v>813.6104357142857</v>
      </c>
      <c r="H36" s="38">
        <v>752.53035999999986</v>
      </c>
      <c r="I36" s="38">
        <v>698.59795142857149</v>
      </c>
      <c r="J36" s="38">
        <v>588.55087142857144</v>
      </c>
      <c r="K36" s="38">
        <v>468.40999000000005</v>
      </c>
      <c r="L36" s="38">
        <v>373.79904571428568</v>
      </c>
      <c r="M36" s="38">
        <v>347.84003285714283</v>
      </c>
      <c r="N36" s="38">
        <v>315.65944000000002</v>
      </c>
      <c r="O36" s="38">
        <v>478.92231714285714</v>
      </c>
      <c r="P36" s="38">
        <v>660.63540142857141</v>
      </c>
      <c r="Q36" s="38">
        <v>690.24154714285726</v>
      </c>
      <c r="R36" s="38">
        <v>839.77403714285708</v>
      </c>
      <c r="S36" s="19">
        <f t="shared" si="44"/>
        <v>0.99999999999999989</v>
      </c>
      <c r="T36" s="16">
        <f t="shared" si="45"/>
        <v>0.11575758229354519</v>
      </c>
      <c r="U36" s="16">
        <f t="shared" si="46"/>
        <v>0.10706732762051474</v>
      </c>
      <c r="V36" s="16">
        <f t="shared" si="47"/>
        <v>9.9394017459472753E-2</v>
      </c>
      <c r="W36" s="16">
        <f t="shared" si="48"/>
        <v>8.3736912584606304E-2</v>
      </c>
      <c r="X36" s="16">
        <f t="shared" si="49"/>
        <v>6.6643697750682171E-2</v>
      </c>
      <c r="Y36" s="16">
        <f t="shared" si="50"/>
        <v>5.3182791046101047E-2</v>
      </c>
      <c r="Z36" s="16">
        <f t="shared" si="51"/>
        <v>4.9489435559046856E-2</v>
      </c>
      <c r="AA36" s="16">
        <f t="shared" si="52"/>
        <v>4.4910895925831112E-2</v>
      </c>
      <c r="AB36" s="16">
        <f t="shared" si="53"/>
        <v>6.8139354051191175E-2</v>
      </c>
      <c r="AC36" s="16">
        <f t="shared" si="54"/>
        <v>9.3992841647562414E-2</v>
      </c>
      <c r="AD36" s="16">
        <f t="shared" si="55"/>
        <v>9.8205098150771331E-2</v>
      </c>
      <c r="AE36" s="16">
        <f t="shared" si="56"/>
        <v>0.11948004591067476</v>
      </c>
      <c r="AF36" s="16">
        <f t="shared" si="57"/>
        <v>0.11575758229354519</v>
      </c>
      <c r="AG36" s="16">
        <f t="shared" si="58"/>
        <v>0.22282490991405993</v>
      </c>
      <c r="AH36" s="16">
        <f t="shared" si="59"/>
        <v>0.32221892737353269</v>
      </c>
      <c r="AI36" s="16">
        <f t="shared" si="60"/>
        <v>0.405955839958139</v>
      </c>
      <c r="AJ36" s="16">
        <f t="shared" si="61"/>
        <v>0.47259953770882118</v>
      </c>
      <c r="AK36" s="16">
        <f t="shared" si="62"/>
        <v>0.52578232875492226</v>
      </c>
      <c r="AL36" s="16">
        <f t="shared" si="63"/>
        <v>0.57527176431396909</v>
      </c>
      <c r="AM36" s="16">
        <f t="shared" si="64"/>
        <v>0.62018266023980018</v>
      </c>
      <c r="AN36" s="16">
        <f t="shared" si="65"/>
        <v>0.68832201429099138</v>
      </c>
      <c r="AO36" s="16">
        <f t="shared" si="66"/>
        <v>0.78231485593855377</v>
      </c>
      <c r="AP36" s="16">
        <f t="shared" si="67"/>
        <v>0.88051995408932515</v>
      </c>
      <c r="AQ36" s="16">
        <f t="shared" si="68"/>
        <v>0.99999999999999989</v>
      </c>
    </row>
    <row r="37" spans="2:43" x14ac:dyDescent="0.25">
      <c r="B37" s="3" t="s">
        <v>85</v>
      </c>
      <c r="C37" s="3" t="str">
        <f>B37</f>
        <v>Fortel-Bonnières 1</v>
      </c>
      <c r="D37" s="3" cm="1">
        <f t="array" ref="D37">VLOOKUP($C37,BD!$C:$X,BD!G$1-1,FALSE)</f>
        <v>11.4</v>
      </c>
      <c r="E37" s="18">
        <f t="shared" si="42"/>
        <v>2372.8070175438593</v>
      </c>
      <c r="F37" s="18">
        <f t="shared" si="43"/>
        <v>27049.999999999996</v>
      </c>
      <c r="G37" s="38">
        <v>3272.4139369505151</v>
      </c>
      <c r="H37" s="38">
        <v>2891.1187538369072</v>
      </c>
      <c r="I37" s="38">
        <v>2507.0201890701651</v>
      </c>
      <c r="J37" s="38">
        <v>1975.0290810979225</v>
      </c>
      <c r="K37" s="38">
        <v>1839.7532459633862</v>
      </c>
      <c r="L37" s="38">
        <v>1511.7272830321951</v>
      </c>
      <c r="M37" s="38">
        <v>1472.4764617473095</v>
      </c>
      <c r="N37" s="38">
        <v>1459.8602505536323</v>
      </c>
      <c r="O37" s="38">
        <v>1808.2124695405496</v>
      </c>
      <c r="P37" s="38">
        <v>2528.0475389778189</v>
      </c>
      <c r="Q37" s="38">
        <v>2662.6222802604284</v>
      </c>
      <c r="R37" s="38">
        <v>3121.7185089691675</v>
      </c>
      <c r="S37" s="19">
        <f t="shared" si="44"/>
        <v>1</v>
      </c>
      <c r="T37" s="16">
        <f t="shared" si="45"/>
        <v>0.12097648565436286</v>
      </c>
      <c r="U37" s="16">
        <f t="shared" si="46"/>
        <v>0.10688054542835149</v>
      </c>
      <c r="V37" s="16">
        <f t="shared" si="47"/>
        <v>9.2680968172649369E-2</v>
      </c>
      <c r="W37" s="16">
        <f t="shared" si="48"/>
        <v>7.3014014088647786E-2</v>
      </c>
      <c r="X37" s="16">
        <f t="shared" si="49"/>
        <v>6.8013059000494883E-2</v>
      </c>
      <c r="Y37" s="16">
        <f t="shared" si="50"/>
        <v>5.5886406027068222E-2</v>
      </c>
      <c r="Z37" s="16">
        <f t="shared" si="51"/>
        <v>5.4435359029475404E-2</v>
      </c>
      <c r="AA37" s="16">
        <f t="shared" si="52"/>
        <v>5.3968955658174958E-2</v>
      </c>
      <c r="AB37" s="16">
        <f t="shared" si="53"/>
        <v>6.6847041387820702E-2</v>
      </c>
      <c r="AC37" s="16">
        <f t="shared" si="54"/>
        <v>9.3458319370714207E-2</v>
      </c>
      <c r="AD37" s="16">
        <f t="shared" si="55"/>
        <v>9.8433356017021398E-2</v>
      </c>
      <c r="AE37" s="16">
        <f t="shared" si="56"/>
        <v>0.11540549016521878</v>
      </c>
      <c r="AF37" s="16">
        <f t="shared" si="57"/>
        <v>0.12097648565436286</v>
      </c>
      <c r="AG37" s="16">
        <f t="shared" si="58"/>
        <v>0.22785703108271435</v>
      </c>
      <c r="AH37" s="16">
        <f t="shared" si="59"/>
        <v>0.32053799925536375</v>
      </c>
      <c r="AI37" s="16">
        <f t="shared" si="60"/>
        <v>0.39355201334401152</v>
      </c>
      <c r="AJ37" s="16">
        <f t="shared" si="61"/>
        <v>0.46156507234450639</v>
      </c>
      <c r="AK37" s="16">
        <f t="shared" si="62"/>
        <v>0.51745147837157457</v>
      </c>
      <c r="AL37" s="16">
        <f t="shared" si="63"/>
        <v>0.57188683740104995</v>
      </c>
      <c r="AM37" s="16">
        <f t="shared" si="64"/>
        <v>0.6258557930592249</v>
      </c>
      <c r="AN37" s="16">
        <f t="shared" si="65"/>
        <v>0.69270283444704561</v>
      </c>
      <c r="AO37" s="16">
        <f t="shared" si="66"/>
        <v>0.78616115381775986</v>
      </c>
      <c r="AP37" s="16">
        <f t="shared" si="67"/>
        <v>0.88459450983478127</v>
      </c>
      <c r="AQ37" s="16">
        <f t="shared" si="68"/>
        <v>1</v>
      </c>
    </row>
    <row r="38" spans="2:43" x14ac:dyDescent="0.25">
      <c r="B38" s="3" t="s">
        <v>83</v>
      </c>
      <c r="C38" s="3" t="str">
        <f>B38</f>
        <v>Fortel-Bonnières 2</v>
      </c>
      <c r="D38" s="3" cm="1">
        <f t="array" ref="D38">VLOOKUP($C38,BD!$C:$X,BD!G$1-1,FALSE)</f>
        <v>11.4</v>
      </c>
      <c r="E38" s="18">
        <f t="shared" si="42"/>
        <v>2372.8070175438593</v>
      </c>
      <c r="F38" s="18">
        <f t="shared" si="43"/>
        <v>27049.999999999996</v>
      </c>
      <c r="G38" s="38">
        <v>3272.4139369505151</v>
      </c>
      <c r="H38" s="38">
        <v>2891.1187538369072</v>
      </c>
      <c r="I38" s="38">
        <v>2507.0201890701651</v>
      </c>
      <c r="J38" s="38">
        <v>1975.0290810979225</v>
      </c>
      <c r="K38" s="38">
        <v>1839.7532459633862</v>
      </c>
      <c r="L38" s="38">
        <v>1511.7272830321951</v>
      </c>
      <c r="M38" s="38">
        <v>1472.4764617473095</v>
      </c>
      <c r="N38" s="38">
        <v>1459.8602505536323</v>
      </c>
      <c r="O38" s="38">
        <v>1808.2124695405496</v>
      </c>
      <c r="P38" s="38">
        <v>2528.0475389778189</v>
      </c>
      <c r="Q38" s="38">
        <v>2662.6222802604284</v>
      </c>
      <c r="R38" s="38">
        <v>3121.7185089691675</v>
      </c>
      <c r="S38" s="19">
        <f t="shared" si="44"/>
        <v>1</v>
      </c>
      <c r="T38" s="16">
        <f t="shared" si="45"/>
        <v>0.12097648565436286</v>
      </c>
      <c r="U38" s="16">
        <f t="shared" si="46"/>
        <v>0.10688054542835149</v>
      </c>
      <c r="V38" s="16">
        <f t="shared" si="47"/>
        <v>9.2680968172649369E-2</v>
      </c>
      <c r="W38" s="16">
        <f t="shared" si="48"/>
        <v>7.3014014088647786E-2</v>
      </c>
      <c r="X38" s="16">
        <f t="shared" si="49"/>
        <v>6.8013059000494883E-2</v>
      </c>
      <c r="Y38" s="16">
        <f t="shared" si="50"/>
        <v>5.5886406027068222E-2</v>
      </c>
      <c r="Z38" s="16">
        <f t="shared" si="51"/>
        <v>5.4435359029475404E-2</v>
      </c>
      <c r="AA38" s="16">
        <f t="shared" si="52"/>
        <v>5.3968955658174958E-2</v>
      </c>
      <c r="AB38" s="16">
        <f t="shared" si="53"/>
        <v>6.6847041387820702E-2</v>
      </c>
      <c r="AC38" s="16">
        <f t="shared" si="54"/>
        <v>9.3458319370714207E-2</v>
      </c>
      <c r="AD38" s="16">
        <f t="shared" si="55"/>
        <v>9.8433356017021398E-2</v>
      </c>
      <c r="AE38" s="16">
        <f t="shared" si="56"/>
        <v>0.11540549016521878</v>
      </c>
      <c r="AF38" s="16">
        <f t="shared" si="57"/>
        <v>0.12097648565436286</v>
      </c>
      <c r="AG38" s="16">
        <f t="shared" si="58"/>
        <v>0.22785703108271435</v>
      </c>
      <c r="AH38" s="16">
        <f t="shared" si="59"/>
        <v>0.32053799925536375</v>
      </c>
      <c r="AI38" s="16">
        <f t="shared" si="60"/>
        <v>0.39355201334401152</v>
      </c>
      <c r="AJ38" s="16">
        <f t="shared" si="61"/>
        <v>0.46156507234450639</v>
      </c>
      <c r="AK38" s="16">
        <f t="shared" si="62"/>
        <v>0.51745147837157457</v>
      </c>
      <c r="AL38" s="16">
        <f t="shared" si="63"/>
        <v>0.57188683740104995</v>
      </c>
      <c r="AM38" s="16">
        <f t="shared" si="64"/>
        <v>0.6258557930592249</v>
      </c>
      <c r="AN38" s="16">
        <f t="shared" si="65"/>
        <v>0.69270283444704561</v>
      </c>
      <c r="AO38" s="16">
        <f t="shared" si="66"/>
        <v>0.78616115381775986</v>
      </c>
      <c r="AP38" s="16">
        <f t="shared" si="67"/>
        <v>0.88459450983478127</v>
      </c>
      <c r="AQ38" s="16">
        <f t="shared" si="68"/>
        <v>1</v>
      </c>
    </row>
    <row r="39" spans="2:43" x14ac:dyDescent="0.25">
      <c r="B39" s="3" t="s">
        <v>84</v>
      </c>
      <c r="C39" s="3" t="str">
        <f>B39</f>
        <v>Pays d'Othe</v>
      </c>
      <c r="D39" s="3" cm="1">
        <f t="array" ref="D39">VLOOKUP($C39,BD!$C:$X,BD!G$1-1,FALSE)</f>
        <v>8</v>
      </c>
      <c r="E39" s="18">
        <f t="shared" si="42"/>
        <v>2328.7501249999996</v>
      </c>
      <c r="F39" s="18">
        <f t="shared" si="43"/>
        <v>18630.000999999997</v>
      </c>
      <c r="G39" s="38">
        <v>2187.0160000000001</v>
      </c>
      <c r="H39" s="38">
        <v>1988.893</v>
      </c>
      <c r="I39" s="38">
        <v>1767.4939999999999</v>
      </c>
      <c r="J39" s="38">
        <v>1507.1189999999999</v>
      </c>
      <c r="K39" s="38">
        <v>1270.5630000000001</v>
      </c>
      <c r="L39" s="38">
        <v>1004.235</v>
      </c>
      <c r="M39" s="38">
        <v>964.17700000000002</v>
      </c>
      <c r="N39" s="38">
        <v>893.80600000000004</v>
      </c>
      <c r="O39" s="38">
        <v>1252.1579999999999</v>
      </c>
      <c r="P39" s="38">
        <v>1708.49</v>
      </c>
      <c r="Q39" s="38">
        <v>1856.27</v>
      </c>
      <c r="R39" s="38">
        <v>2229.7800000000002</v>
      </c>
      <c r="S39" s="19">
        <f t="shared" si="44"/>
        <v>1</v>
      </c>
      <c r="T39" s="16">
        <f t="shared" si="45"/>
        <v>0.11739215687642746</v>
      </c>
      <c r="U39" s="16">
        <f t="shared" si="46"/>
        <v>0.10675753586916073</v>
      </c>
      <c r="V39" s="16">
        <f t="shared" si="47"/>
        <v>9.4873532212907563E-2</v>
      </c>
      <c r="W39" s="16">
        <f t="shared" si="48"/>
        <v>8.0897419168147133E-2</v>
      </c>
      <c r="X39" s="16">
        <f t="shared" si="49"/>
        <v>6.8199835308650827E-2</v>
      </c>
      <c r="Y39" s="16">
        <f t="shared" si="50"/>
        <v>5.3904183902083534E-2</v>
      </c>
      <c r="Z39" s="16">
        <f t="shared" si="51"/>
        <v>5.1753996148470427E-2</v>
      </c>
      <c r="AA39" s="16">
        <f t="shared" si="52"/>
        <v>4.7976701665233414E-2</v>
      </c>
      <c r="AB39" s="16">
        <f t="shared" si="53"/>
        <v>6.7211912656365405E-2</v>
      </c>
      <c r="AC39" s="16">
        <f t="shared" si="54"/>
        <v>9.1706382624456129E-2</v>
      </c>
      <c r="AD39" s="16">
        <f t="shared" si="55"/>
        <v>9.9638749348430006E-2</v>
      </c>
      <c r="AE39" s="16">
        <f t="shared" si="56"/>
        <v>0.11968759421966754</v>
      </c>
      <c r="AF39" s="16">
        <f t="shared" si="57"/>
        <v>0.11739215687642746</v>
      </c>
      <c r="AG39" s="16">
        <f t="shared" si="58"/>
        <v>0.22414969274558819</v>
      </c>
      <c r="AH39" s="16">
        <f t="shared" si="59"/>
        <v>0.31902322495849578</v>
      </c>
      <c r="AI39" s="16">
        <f t="shared" si="60"/>
        <v>0.39992064412664291</v>
      </c>
      <c r="AJ39" s="16">
        <f t="shared" si="61"/>
        <v>0.46812047943529372</v>
      </c>
      <c r="AK39" s="16">
        <f t="shared" si="62"/>
        <v>0.52202466333737729</v>
      </c>
      <c r="AL39" s="16">
        <f t="shared" si="63"/>
        <v>0.57377865948584772</v>
      </c>
      <c r="AM39" s="16">
        <f t="shared" si="64"/>
        <v>0.6217553611510811</v>
      </c>
      <c r="AN39" s="16">
        <f t="shared" si="65"/>
        <v>0.68896727380744649</v>
      </c>
      <c r="AO39" s="16">
        <f t="shared" si="66"/>
        <v>0.78067365643190256</v>
      </c>
      <c r="AP39" s="16">
        <f t="shared" si="67"/>
        <v>0.88031240578033254</v>
      </c>
      <c r="AQ39" s="16">
        <f t="shared" si="68"/>
        <v>1</v>
      </c>
    </row>
    <row r="40" spans="2:43" x14ac:dyDescent="0.25">
      <c r="B40" s="3" t="s">
        <v>86</v>
      </c>
      <c r="C40" s="3" t="s">
        <v>87</v>
      </c>
      <c r="D40" s="3" cm="1">
        <f t="array" ref="D40">VLOOKUP($C40,BD!$C:$X,BD!G$1-1,FALSE)</f>
        <v>11.4</v>
      </c>
      <c r="E40" s="18">
        <f t="shared" si="42"/>
        <v>2283.3333333333335</v>
      </c>
      <c r="F40" s="18">
        <f t="shared" si="43"/>
        <v>26030</v>
      </c>
      <c r="G40" s="38">
        <v>3081.5704999999998</v>
      </c>
      <c r="H40" s="38">
        <v>2784.7289999999998</v>
      </c>
      <c r="I40" s="38">
        <v>2425.165</v>
      </c>
      <c r="J40" s="38">
        <v>1962.7635</v>
      </c>
      <c r="K40" s="38">
        <v>1800.8505</v>
      </c>
      <c r="L40" s="38">
        <v>1457.3315</v>
      </c>
      <c r="M40" s="38">
        <v>1383.6679999999999</v>
      </c>
      <c r="N40" s="38">
        <v>1361.0585000000001</v>
      </c>
      <c r="O40" s="38">
        <v>1766.5715</v>
      </c>
      <c r="P40" s="38">
        <v>2436.8339999999998</v>
      </c>
      <c r="Q40" s="38">
        <v>2573.9499999999998</v>
      </c>
      <c r="R40" s="38">
        <v>2995.5079999999998</v>
      </c>
      <c r="S40" s="19">
        <f t="shared" si="44"/>
        <v>1</v>
      </c>
      <c r="T40" s="16">
        <f t="shared" si="45"/>
        <v>0.11838534383403765</v>
      </c>
      <c r="U40" s="16">
        <f t="shared" si="46"/>
        <v>0.10698152132155204</v>
      </c>
      <c r="V40" s="16">
        <f t="shared" si="47"/>
        <v>9.3168075297733383E-2</v>
      </c>
      <c r="W40" s="16">
        <f t="shared" si="48"/>
        <v>7.5403899346907416E-2</v>
      </c>
      <c r="X40" s="16">
        <f t="shared" si="49"/>
        <v>6.9183653476757589E-2</v>
      </c>
      <c r="Y40" s="16">
        <f t="shared" si="50"/>
        <v>5.5986611601997693E-2</v>
      </c>
      <c r="Z40" s="16">
        <f t="shared" si="51"/>
        <v>5.3156665386092969E-2</v>
      </c>
      <c r="AA40" s="16">
        <f t="shared" si="52"/>
        <v>5.2288071456012296E-2</v>
      </c>
      <c r="AB40" s="16">
        <f t="shared" si="53"/>
        <v>6.7866749903956969E-2</v>
      </c>
      <c r="AC40" s="16">
        <f t="shared" si="54"/>
        <v>9.3616365731847867E-2</v>
      </c>
      <c r="AD40" s="16">
        <f t="shared" si="55"/>
        <v>9.8883980023050322E-2</v>
      </c>
      <c r="AE40" s="16">
        <f t="shared" si="56"/>
        <v>0.11507906262005378</v>
      </c>
      <c r="AF40" s="16">
        <f t="shared" si="57"/>
        <v>0.11838534383403765</v>
      </c>
      <c r="AG40" s="16">
        <f t="shared" si="58"/>
        <v>0.22536686515558968</v>
      </c>
      <c r="AH40" s="16">
        <f t="shared" si="59"/>
        <v>0.31853494045332309</v>
      </c>
      <c r="AI40" s="16">
        <f t="shared" si="60"/>
        <v>0.39393883980023048</v>
      </c>
      <c r="AJ40" s="16">
        <f t="shared" si="61"/>
        <v>0.46312249327698807</v>
      </c>
      <c r="AK40" s="16">
        <f t="shared" si="62"/>
        <v>0.51910910487898576</v>
      </c>
      <c r="AL40" s="16">
        <f t="shared" si="63"/>
        <v>0.57226577026507874</v>
      </c>
      <c r="AM40" s="16">
        <f t="shared" si="64"/>
        <v>0.62455384172109107</v>
      </c>
      <c r="AN40" s="16">
        <f t="shared" si="65"/>
        <v>0.6924205916250481</v>
      </c>
      <c r="AO40" s="16">
        <f t="shared" si="66"/>
        <v>0.78603695735689594</v>
      </c>
      <c r="AP40" s="16">
        <f t="shared" si="67"/>
        <v>0.88492093737994626</v>
      </c>
      <c r="AQ40" s="16">
        <f t="shared" si="68"/>
        <v>1</v>
      </c>
    </row>
    <row r="41" spans="2:43" x14ac:dyDescent="0.25">
      <c r="B41" s="3" t="s">
        <v>88</v>
      </c>
      <c r="C41" s="3" t="s">
        <v>89</v>
      </c>
      <c r="D41" s="3" cm="1">
        <f t="array" ref="D41">VLOOKUP($C41,BD!$C:$X,BD!G$1-1,FALSE)</f>
        <v>11.4</v>
      </c>
      <c r="E41" s="18">
        <f t="shared" si="42"/>
        <v>2283.3333333333335</v>
      </c>
      <c r="F41" s="18">
        <f t="shared" si="43"/>
        <v>26030</v>
      </c>
      <c r="G41" s="38">
        <v>3081.5704999999998</v>
      </c>
      <c r="H41" s="38">
        <v>2784.7289999999998</v>
      </c>
      <c r="I41" s="38">
        <v>2425.165</v>
      </c>
      <c r="J41" s="38">
        <v>1962.7635</v>
      </c>
      <c r="K41" s="38">
        <v>1800.8505</v>
      </c>
      <c r="L41" s="38">
        <v>1457.3315</v>
      </c>
      <c r="M41" s="38">
        <v>1383.6679999999999</v>
      </c>
      <c r="N41" s="38">
        <v>1361.0585000000001</v>
      </c>
      <c r="O41" s="38">
        <v>1766.5715</v>
      </c>
      <c r="P41" s="38">
        <v>2436.8339999999998</v>
      </c>
      <c r="Q41" s="38">
        <v>2573.9499999999998</v>
      </c>
      <c r="R41" s="38">
        <v>2995.5079999999998</v>
      </c>
      <c r="S41" s="19">
        <f t="shared" si="44"/>
        <v>1</v>
      </c>
      <c r="T41" s="16">
        <f t="shared" si="45"/>
        <v>0.11838534383403765</v>
      </c>
      <c r="U41" s="16">
        <f t="shared" si="46"/>
        <v>0.10698152132155204</v>
      </c>
      <c r="V41" s="16">
        <f t="shared" si="47"/>
        <v>9.3168075297733383E-2</v>
      </c>
      <c r="W41" s="16">
        <f t="shared" si="48"/>
        <v>7.5403899346907416E-2</v>
      </c>
      <c r="X41" s="16">
        <f t="shared" si="49"/>
        <v>6.9183653476757589E-2</v>
      </c>
      <c r="Y41" s="16">
        <f t="shared" si="50"/>
        <v>5.5986611601997693E-2</v>
      </c>
      <c r="Z41" s="16">
        <f t="shared" si="51"/>
        <v>5.3156665386092969E-2</v>
      </c>
      <c r="AA41" s="16">
        <f t="shared" si="52"/>
        <v>5.2288071456012296E-2</v>
      </c>
      <c r="AB41" s="16">
        <f t="shared" si="53"/>
        <v>6.7866749903956969E-2</v>
      </c>
      <c r="AC41" s="16">
        <f t="shared" si="54"/>
        <v>9.3616365731847867E-2</v>
      </c>
      <c r="AD41" s="16">
        <f t="shared" si="55"/>
        <v>9.8883980023050322E-2</v>
      </c>
      <c r="AE41" s="16">
        <f t="shared" si="56"/>
        <v>0.11507906262005378</v>
      </c>
      <c r="AF41" s="16">
        <f t="shared" si="57"/>
        <v>0.11838534383403765</v>
      </c>
      <c r="AG41" s="16">
        <f t="shared" si="58"/>
        <v>0.22536686515558968</v>
      </c>
      <c r="AH41" s="16">
        <f t="shared" si="59"/>
        <v>0.31853494045332309</v>
      </c>
      <c r="AI41" s="16">
        <f t="shared" si="60"/>
        <v>0.39393883980023048</v>
      </c>
      <c r="AJ41" s="16">
        <f t="shared" si="61"/>
        <v>0.46312249327698807</v>
      </c>
      <c r="AK41" s="16">
        <f t="shared" si="62"/>
        <v>0.51910910487898576</v>
      </c>
      <c r="AL41" s="16">
        <f t="shared" si="63"/>
        <v>0.57226577026507874</v>
      </c>
      <c r="AM41" s="16">
        <f t="shared" si="64"/>
        <v>0.62455384172109107</v>
      </c>
      <c r="AN41" s="16">
        <f t="shared" si="65"/>
        <v>0.6924205916250481</v>
      </c>
      <c r="AO41" s="16">
        <f t="shared" si="66"/>
        <v>0.78603695735689594</v>
      </c>
      <c r="AP41" s="16">
        <f t="shared" si="67"/>
        <v>0.88492093737994626</v>
      </c>
      <c r="AQ41" s="16">
        <f t="shared" si="68"/>
        <v>1</v>
      </c>
    </row>
    <row r="42" spans="2:43" x14ac:dyDescent="0.25">
      <c r="B42" s="3" t="s">
        <v>92</v>
      </c>
      <c r="C42" s="3" t="str">
        <f t="shared" ref="C42:C47" si="69">B42</f>
        <v xml:space="preserve">Calmont  </v>
      </c>
      <c r="D42" s="3" cm="1">
        <f t="array" ref="D42">VLOOKUP($C42,BD!$C:$X,BD!G$1-1,FALSE)</f>
        <v>14.35</v>
      </c>
      <c r="E42" s="18">
        <f t="shared" si="42"/>
        <v>2334.4948432055749</v>
      </c>
      <c r="F42" s="18">
        <f t="shared" si="43"/>
        <v>33500.000999999997</v>
      </c>
      <c r="G42" s="38">
        <v>3341.7809999999999</v>
      </c>
      <c r="H42" s="38">
        <v>3394.9459999999999</v>
      </c>
      <c r="I42" s="38">
        <v>3455.2</v>
      </c>
      <c r="J42" s="38">
        <v>3162.7910000000002</v>
      </c>
      <c r="K42" s="38">
        <v>2881.0140000000001</v>
      </c>
      <c r="L42" s="38">
        <v>2130.4960000000001</v>
      </c>
      <c r="M42" s="38">
        <v>1797.326</v>
      </c>
      <c r="N42" s="38">
        <v>1766.3130000000001</v>
      </c>
      <c r="O42" s="38">
        <v>2305.942</v>
      </c>
      <c r="P42" s="38">
        <v>2986.4589999999998</v>
      </c>
      <c r="Q42" s="38">
        <v>3095.4479999999999</v>
      </c>
      <c r="R42" s="38">
        <v>3182.2849999999999</v>
      </c>
      <c r="S42" s="19">
        <f t="shared" si="44"/>
        <v>1.0000000000000002</v>
      </c>
      <c r="T42" s="16">
        <f t="shared" si="45"/>
        <v>9.9754653738667057E-2</v>
      </c>
      <c r="U42" s="16">
        <f t="shared" si="46"/>
        <v>0.10134166861666662</v>
      </c>
      <c r="V42" s="16">
        <f t="shared" si="47"/>
        <v>0.1031402954286479</v>
      </c>
      <c r="W42" s="16">
        <f t="shared" si="48"/>
        <v>9.4411668823532288E-2</v>
      </c>
      <c r="X42" s="16">
        <f t="shared" si="49"/>
        <v>8.60004153432712E-2</v>
      </c>
      <c r="Y42" s="16">
        <f t="shared" si="50"/>
        <v>6.3596893623973333E-2</v>
      </c>
      <c r="Z42" s="16">
        <f t="shared" si="51"/>
        <v>5.3651520786521772E-2</v>
      </c>
      <c r="AA42" s="16">
        <f t="shared" si="52"/>
        <v>5.2725759620126586E-2</v>
      </c>
      <c r="AB42" s="16">
        <f t="shared" si="53"/>
        <v>6.8834087497489926E-2</v>
      </c>
      <c r="AC42" s="16">
        <f t="shared" si="54"/>
        <v>8.9148027189611137E-2</v>
      </c>
      <c r="AD42" s="16">
        <f t="shared" si="55"/>
        <v>9.2401430077569263E-2</v>
      </c>
      <c r="AE42" s="16">
        <f t="shared" si="56"/>
        <v>9.4993579253923016E-2</v>
      </c>
      <c r="AF42" s="16">
        <f t="shared" si="57"/>
        <v>9.9754653738667057E-2</v>
      </c>
      <c r="AG42" s="16">
        <f t="shared" si="58"/>
        <v>0.20109632235533367</v>
      </c>
      <c r="AH42" s="16">
        <f t="shared" si="59"/>
        <v>0.30423661778398159</v>
      </c>
      <c r="AI42" s="16">
        <f t="shared" si="60"/>
        <v>0.39864828660751389</v>
      </c>
      <c r="AJ42" s="16">
        <f t="shared" si="61"/>
        <v>0.48464870195078508</v>
      </c>
      <c r="AK42" s="16">
        <f t="shared" si="62"/>
        <v>0.54824559557475838</v>
      </c>
      <c r="AL42" s="16">
        <f t="shared" si="63"/>
        <v>0.60189711636128018</v>
      </c>
      <c r="AM42" s="16">
        <f t="shared" si="64"/>
        <v>0.65462287598140678</v>
      </c>
      <c r="AN42" s="16">
        <f t="shared" si="65"/>
        <v>0.72345696347889676</v>
      </c>
      <c r="AO42" s="16">
        <f t="shared" si="66"/>
        <v>0.81260499066850789</v>
      </c>
      <c r="AP42" s="16">
        <f t="shared" si="67"/>
        <v>0.90500642074607718</v>
      </c>
      <c r="AQ42" s="16">
        <f t="shared" si="68"/>
        <v>1.0000000000000002</v>
      </c>
    </row>
    <row r="43" spans="2:43" x14ac:dyDescent="0.25">
      <c r="B43" s="3" t="s">
        <v>91</v>
      </c>
      <c r="C43" s="3" t="str">
        <f t="shared" si="69"/>
        <v>Monfort</v>
      </c>
      <c r="D43" s="3" cm="1">
        <f t="array" ref="D43">VLOOKUP($C43,BD!$C:$X,BD!G$1-1,FALSE)</f>
        <v>9.8000000000000007</v>
      </c>
      <c r="E43" s="18">
        <f t="shared" si="42"/>
        <v>1556.5510204081631</v>
      </c>
      <c r="F43" s="18">
        <f t="shared" si="43"/>
        <v>15254.2</v>
      </c>
      <c r="G43" s="38">
        <v>849.6</v>
      </c>
      <c r="H43" s="38">
        <v>962.6</v>
      </c>
      <c r="I43" s="38">
        <v>1362.9</v>
      </c>
      <c r="J43" s="38">
        <v>1392.8</v>
      </c>
      <c r="K43" s="38">
        <v>1575.4</v>
      </c>
      <c r="L43" s="38">
        <v>1696.2</v>
      </c>
      <c r="M43" s="38">
        <v>1815.6</v>
      </c>
      <c r="N43" s="38">
        <v>1678.2</v>
      </c>
      <c r="O43" s="38">
        <v>1354.5</v>
      </c>
      <c r="P43" s="38">
        <v>1064.5999999999999</v>
      </c>
      <c r="Q43" s="38">
        <v>761.9</v>
      </c>
      <c r="R43" s="38">
        <v>739.9</v>
      </c>
      <c r="S43" s="19">
        <f t="shared" si="44"/>
        <v>1</v>
      </c>
      <c r="T43" s="16">
        <f t="shared" si="45"/>
        <v>5.5696136146110575E-2</v>
      </c>
      <c r="U43" s="16">
        <f t="shared" si="46"/>
        <v>6.3103932031833856E-2</v>
      </c>
      <c r="V43" s="16">
        <f t="shared" si="47"/>
        <v>8.9345885067719052E-2</v>
      </c>
      <c r="W43" s="16">
        <f t="shared" si="48"/>
        <v>9.1306000970224593E-2</v>
      </c>
      <c r="X43" s="16">
        <f t="shared" si="49"/>
        <v>0.10327647467582698</v>
      </c>
      <c r="Y43" s="16">
        <f t="shared" si="50"/>
        <v>0.11119560514481257</v>
      </c>
      <c r="Z43" s="16">
        <f t="shared" si="51"/>
        <v>0.11902295761167415</v>
      </c>
      <c r="AA43" s="16">
        <f t="shared" si="52"/>
        <v>0.11001560226036108</v>
      </c>
      <c r="AB43" s="16">
        <f t="shared" si="53"/>
        <v>8.879521705497502E-2</v>
      </c>
      <c r="AC43" s="16">
        <f t="shared" si="54"/>
        <v>6.9790615043725648E-2</v>
      </c>
      <c r="AD43" s="16">
        <f t="shared" si="55"/>
        <v>4.9946899870199679E-2</v>
      </c>
      <c r="AE43" s="16">
        <f t="shared" si="56"/>
        <v>4.8504674122536742E-2</v>
      </c>
      <c r="AF43" s="16">
        <f t="shared" si="57"/>
        <v>5.5696136146110575E-2</v>
      </c>
      <c r="AG43" s="16">
        <f t="shared" si="58"/>
        <v>0.11880006817794443</v>
      </c>
      <c r="AH43" s="16">
        <f t="shared" si="59"/>
        <v>0.20814595324566348</v>
      </c>
      <c r="AI43" s="16">
        <f t="shared" si="60"/>
        <v>0.29945195421588811</v>
      </c>
      <c r="AJ43" s="16">
        <f t="shared" si="61"/>
        <v>0.40272842889171512</v>
      </c>
      <c r="AK43" s="16">
        <f t="shared" si="62"/>
        <v>0.51392403403652764</v>
      </c>
      <c r="AL43" s="16">
        <f t="shared" si="63"/>
        <v>0.63294699164820178</v>
      </c>
      <c r="AM43" s="16">
        <f t="shared" si="64"/>
        <v>0.7429625939085629</v>
      </c>
      <c r="AN43" s="16">
        <f t="shared" si="65"/>
        <v>0.83175781096353796</v>
      </c>
      <c r="AO43" s="16">
        <f t="shared" si="66"/>
        <v>0.90154842600726359</v>
      </c>
      <c r="AP43" s="16">
        <f t="shared" si="67"/>
        <v>0.95149532587746322</v>
      </c>
      <c r="AQ43" s="16">
        <f t="shared" si="68"/>
        <v>1</v>
      </c>
    </row>
    <row r="44" spans="2:43" x14ac:dyDescent="0.25">
      <c r="B44" s="3" t="s">
        <v>90</v>
      </c>
      <c r="C44" s="3" t="str">
        <f t="shared" si="69"/>
        <v>Comes de l'Arce</v>
      </c>
      <c r="D44" s="3" cm="1">
        <f t="array" ref="D44">VLOOKUP($C44,BD!$C:$X,BD!G$1-1,FALSE)</f>
        <v>10</v>
      </c>
      <c r="E44" s="18">
        <f t="shared" si="42"/>
        <v>2545</v>
      </c>
      <c r="F44" s="18">
        <f t="shared" si="43"/>
        <v>25450</v>
      </c>
      <c r="G44" s="38">
        <v>2978.1370000000002</v>
      </c>
      <c r="H44" s="38">
        <v>2688.1619999999998</v>
      </c>
      <c r="I44" s="38">
        <v>2419.002</v>
      </c>
      <c r="J44" s="38">
        <v>2072.3249999999998</v>
      </c>
      <c r="K44" s="38">
        <v>1701.2429999999999</v>
      </c>
      <c r="L44" s="38">
        <v>1361.7429999999999</v>
      </c>
      <c r="M44" s="38">
        <v>1278.4829999999999</v>
      </c>
      <c r="N44" s="38">
        <v>1208.143</v>
      </c>
      <c r="O44" s="38">
        <v>1734.26</v>
      </c>
      <c r="P44" s="38">
        <v>2399.623</v>
      </c>
      <c r="Q44" s="38">
        <v>2567.5790000000002</v>
      </c>
      <c r="R44" s="38">
        <v>3041.3</v>
      </c>
      <c r="S44" s="19">
        <f t="shared" si="44"/>
        <v>0.99999999999999989</v>
      </c>
      <c r="T44" s="16">
        <f t="shared" si="45"/>
        <v>0.11701913555992143</v>
      </c>
      <c r="U44" s="16">
        <f t="shared" si="46"/>
        <v>0.10562522593320235</v>
      </c>
      <c r="V44" s="16">
        <f t="shared" si="47"/>
        <v>9.5049194499017678E-2</v>
      </c>
      <c r="W44" s="16">
        <f t="shared" si="48"/>
        <v>8.1427308447937122E-2</v>
      </c>
      <c r="X44" s="16">
        <f t="shared" si="49"/>
        <v>6.6846483300589385E-2</v>
      </c>
      <c r="Y44" s="16">
        <f t="shared" si="50"/>
        <v>5.3506601178781921E-2</v>
      </c>
      <c r="Z44" s="16">
        <f t="shared" si="51"/>
        <v>5.02350884086444E-2</v>
      </c>
      <c r="AA44" s="16">
        <f t="shared" si="52"/>
        <v>4.747123772102161E-2</v>
      </c>
      <c r="AB44" s="16">
        <f t="shared" si="53"/>
        <v>6.8143811394891951E-2</v>
      </c>
      <c r="AC44" s="16">
        <f t="shared" si="54"/>
        <v>9.4287740667976433E-2</v>
      </c>
      <c r="AD44" s="16">
        <f t="shared" si="55"/>
        <v>0.1008871905697446</v>
      </c>
      <c r="AE44" s="16">
        <f t="shared" si="56"/>
        <v>0.11950098231827112</v>
      </c>
      <c r="AF44" s="16">
        <f t="shared" si="57"/>
        <v>0.11701913555992143</v>
      </c>
      <c r="AG44" s="16">
        <f t="shared" si="58"/>
        <v>0.22264436149312378</v>
      </c>
      <c r="AH44" s="16">
        <f t="shared" si="59"/>
        <v>0.31769355599214144</v>
      </c>
      <c r="AI44" s="16">
        <f t="shared" si="60"/>
        <v>0.39912086444007855</v>
      </c>
      <c r="AJ44" s="16">
        <f t="shared" si="61"/>
        <v>0.46596734774066795</v>
      </c>
      <c r="AK44" s="16">
        <f t="shared" si="62"/>
        <v>0.51947394891944987</v>
      </c>
      <c r="AL44" s="16">
        <f t="shared" si="63"/>
        <v>0.5697090373280943</v>
      </c>
      <c r="AM44" s="16">
        <f t="shared" si="64"/>
        <v>0.61718027504911588</v>
      </c>
      <c r="AN44" s="16">
        <f t="shared" si="65"/>
        <v>0.68532408644400777</v>
      </c>
      <c r="AO44" s="16">
        <f t="shared" si="66"/>
        <v>0.77961182711198418</v>
      </c>
      <c r="AP44" s="16">
        <f t="shared" si="67"/>
        <v>0.88049901768172878</v>
      </c>
      <c r="AQ44" s="16">
        <f t="shared" si="68"/>
        <v>0.99999999999999989</v>
      </c>
    </row>
    <row r="45" spans="2:43" x14ac:dyDescent="0.25">
      <c r="B45" s="3" t="s">
        <v>93</v>
      </c>
      <c r="C45" s="3" t="str">
        <f t="shared" si="69"/>
        <v>Touvent</v>
      </c>
      <c r="D45" s="3" cm="1">
        <f t="array" ref="D45">VLOOKUP($C45,BD!$C:$X,BD!G$1-1,FALSE)</f>
        <v>13.8</v>
      </c>
      <c r="E45" s="18">
        <f t="shared" si="42"/>
        <v>2165.2173913043475</v>
      </c>
      <c r="F45" s="18">
        <f t="shared" si="43"/>
        <v>29880</v>
      </c>
      <c r="G45" s="38">
        <v>3827.4110000000001</v>
      </c>
      <c r="H45" s="38">
        <v>3367.038</v>
      </c>
      <c r="I45" s="38">
        <v>2762.7080000000001</v>
      </c>
      <c r="J45" s="38">
        <v>2015.8489999999999</v>
      </c>
      <c r="K45" s="38">
        <v>1960.2619999999999</v>
      </c>
      <c r="L45" s="38">
        <v>1682.327</v>
      </c>
      <c r="M45" s="38">
        <v>1769.271</v>
      </c>
      <c r="N45" s="38">
        <v>1606.7860000000001</v>
      </c>
      <c r="O45" s="38">
        <v>1759.2940000000001</v>
      </c>
      <c r="P45" s="38">
        <v>2623.0279999999998</v>
      </c>
      <c r="Q45" s="38">
        <v>2972.2280000000001</v>
      </c>
      <c r="R45" s="38">
        <v>3533.7979999999998</v>
      </c>
      <c r="S45" s="19">
        <f t="shared" si="44"/>
        <v>1</v>
      </c>
      <c r="T45" s="16">
        <f t="shared" si="45"/>
        <v>0.12809273761713522</v>
      </c>
      <c r="U45" s="16">
        <f t="shared" si="46"/>
        <v>0.11268534136546185</v>
      </c>
      <c r="V45" s="16">
        <f t="shared" si="47"/>
        <v>9.2460107095046859E-2</v>
      </c>
      <c r="W45" s="16">
        <f t="shared" si="48"/>
        <v>6.7464825970548856E-2</v>
      </c>
      <c r="X45" s="16">
        <f t="shared" si="49"/>
        <v>6.5604484605087013E-2</v>
      </c>
      <c r="Y45" s="16">
        <f t="shared" si="50"/>
        <v>5.6302777777777778E-2</v>
      </c>
      <c r="Z45" s="16">
        <f t="shared" si="51"/>
        <v>5.921255020080321E-2</v>
      </c>
      <c r="AA45" s="16">
        <f t="shared" si="52"/>
        <v>5.377463186077644E-2</v>
      </c>
      <c r="AB45" s="16">
        <f t="shared" si="53"/>
        <v>5.8878647925033473E-2</v>
      </c>
      <c r="AC45" s="16">
        <f t="shared" si="54"/>
        <v>8.7785408299866127E-2</v>
      </c>
      <c r="AD45" s="16">
        <f t="shared" si="55"/>
        <v>9.9472155287817943E-2</v>
      </c>
      <c r="AE45" s="16">
        <f t="shared" si="56"/>
        <v>0.11826633199464524</v>
      </c>
      <c r="AF45" s="16">
        <f t="shared" si="57"/>
        <v>0.12809273761713522</v>
      </c>
      <c r="AG45" s="16">
        <f t="shared" si="58"/>
        <v>0.24077807898259707</v>
      </c>
      <c r="AH45" s="16">
        <f t="shared" si="59"/>
        <v>0.33323818607764394</v>
      </c>
      <c r="AI45" s="16">
        <f t="shared" si="60"/>
        <v>0.40070301204819281</v>
      </c>
      <c r="AJ45" s="16">
        <f t="shared" si="61"/>
        <v>0.46630749665327981</v>
      </c>
      <c r="AK45" s="16">
        <f t="shared" si="62"/>
        <v>0.52261027443105756</v>
      </c>
      <c r="AL45" s="16">
        <f t="shared" si="63"/>
        <v>0.58182282463186075</v>
      </c>
      <c r="AM45" s="16">
        <f t="shared" si="64"/>
        <v>0.63559745649263721</v>
      </c>
      <c r="AN45" s="16">
        <f t="shared" si="65"/>
        <v>0.69447610441767071</v>
      </c>
      <c r="AO45" s="16">
        <f t="shared" si="66"/>
        <v>0.78226151271753686</v>
      </c>
      <c r="AP45" s="16">
        <f t="shared" si="67"/>
        <v>0.8817336680053548</v>
      </c>
      <c r="AQ45" s="16">
        <f t="shared" si="68"/>
        <v>1</v>
      </c>
    </row>
    <row r="46" spans="2:43" x14ac:dyDescent="0.25">
      <c r="B46" s="3" t="s">
        <v>94</v>
      </c>
      <c r="C46" s="3" t="str">
        <f t="shared" si="69"/>
        <v>Plateau de Savernat 1</v>
      </c>
      <c r="D46" s="3" cm="1">
        <f t="array" ref="D46">VLOOKUP($C46,BD!$C:$X,BD!G$1-1,FALSE)</f>
        <v>12</v>
      </c>
      <c r="E46" s="18">
        <f t="shared" si="42"/>
        <v>2194.8750000000005</v>
      </c>
      <c r="F46" s="18">
        <f t="shared" si="43"/>
        <v>26338.500000000004</v>
      </c>
      <c r="G46" s="38">
        <v>3005.799</v>
      </c>
      <c r="H46" s="38">
        <v>2819.1352500000003</v>
      </c>
      <c r="I46" s="38">
        <v>2496.2932500000002</v>
      </c>
      <c r="J46" s="38">
        <v>2211.3157499999998</v>
      </c>
      <c r="K46" s="38">
        <v>1821.38175</v>
      </c>
      <c r="L46" s="38">
        <v>1467.98325</v>
      </c>
      <c r="M46" s="38">
        <v>1406.8687500000001</v>
      </c>
      <c r="N46" s="38">
        <v>1279.9904999999999</v>
      </c>
      <c r="O46" s="38">
        <v>1745.6534999999999</v>
      </c>
      <c r="P46" s="38">
        <v>2332.2157500000003</v>
      </c>
      <c r="Q46" s="38">
        <v>2663.0287499999999</v>
      </c>
      <c r="R46" s="38">
        <v>3088.8344999999999</v>
      </c>
      <c r="S46" s="19">
        <f t="shared" si="44"/>
        <v>0.99999999999999989</v>
      </c>
      <c r="T46" s="16">
        <f t="shared" si="45"/>
        <v>0.11412187482202857</v>
      </c>
      <c r="U46" s="16">
        <f t="shared" si="46"/>
        <v>0.10703476849478899</v>
      </c>
      <c r="V46" s="16">
        <f t="shared" si="47"/>
        <v>9.4777350646392158E-2</v>
      </c>
      <c r="W46" s="16">
        <f t="shared" si="48"/>
        <v>8.395754314026993E-2</v>
      </c>
      <c r="X46" s="16">
        <f t="shared" si="49"/>
        <v>6.915282760977276E-2</v>
      </c>
      <c r="Y46" s="16">
        <f t="shared" si="50"/>
        <v>5.5735263967196302E-2</v>
      </c>
      <c r="Z46" s="16">
        <f t="shared" si="51"/>
        <v>5.3414915427985647E-2</v>
      </c>
      <c r="AA46" s="16">
        <f t="shared" si="52"/>
        <v>4.8597699185602812E-2</v>
      </c>
      <c r="AB46" s="16">
        <f t="shared" si="53"/>
        <v>6.6277635400649224E-2</v>
      </c>
      <c r="AC46" s="16">
        <f t="shared" si="54"/>
        <v>8.8547781764337377E-2</v>
      </c>
      <c r="AD46" s="16">
        <f t="shared" si="55"/>
        <v>0.10110783643715472</v>
      </c>
      <c r="AE46" s="16">
        <f t="shared" si="56"/>
        <v>0.11727450310382138</v>
      </c>
      <c r="AF46" s="16">
        <f t="shared" si="57"/>
        <v>0.11412187482202857</v>
      </c>
      <c r="AG46" s="16">
        <f t="shared" si="58"/>
        <v>0.22115664331681756</v>
      </c>
      <c r="AH46" s="16">
        <f t="shared" si="59"/>
        <v>0.3159339939632097</v>
      </c>
      <c r="AI46" s="16">
        <f t="shared" si="60"/>
        <v>0.39989153710347963</v>
      </c>
      <c r="AJ46" s="16">
        <f t="shared" si="61"/>
        <v>0.46904436471325239</v>
      </c>
      <c r="AK46" s="16">
        <f t="shared" si="62"/>
        <v>0.5247796286804487</v>
      </c>
      <c r="AL46" s="16">
        <f t="shared" si="63"/>
        <v>0.57819454410843429</v>
      </c>
      <c r="AM46" s="16">
        <f t="shared" si="64"/>
        <v>0.62679224329403715</v>
      </c>
      <c r="AN46" s="16">
        <f t="shared" si="65"/>
        <v>0.69306987869468639</v>
      </c>
      <c r="AO46" s="16">
        <f t="shared" si="66"/>
        <v>0.78161766045902381</v>
      </c>
      <c r="AP46" s="16">
        <f t="shared" si="67"/>
        <v>0.88272549689617852</v>
      </c>
      <c r="AQ46" s="16">
        <f t="shared" si="68"/>
        <v>0.99999999999999989</v>
      </c>
    </row>
    <row r="47" spans="2:43" x14ac:dyDescent="0.25">
      <c r="B47" s="3" t="s">
        <v>97</v>
      </c>
      <c r="C47" s="3" t="str">
        <f t="shared" si="69"/>
        <v>Plateau de Savernat 2</v>
      </c>
      <c r="D47" s="3" cm="1">
        <f t="array" ref="D47">VLOOKUP($C47,BD!$C:$X,BD!G$1-1,FALSE)</f>
        <v>4</v>
      </c>
      <c r="E47" s="18">
        <f t="shared" si="42"/>
        <v>2194.875</v>
      </c>
      <c r="F47" s="18">
        <f t="shared" si="43"/>
        <v>8779.5</v>
      </c>
      <c r="G47" s="38">
        <v>1001.933</v>
      </c>
      <c r="H47" s="38">
        <v>939.71175000000005</v>
      </c>
      <c r="I47" s="38">
        <v>832.09775000000002</v>
      </c>
      <c r="J47" s="38">
        <v>737.10524999999996</v>
      </c>
      <c r="K47" s="38">
        <v>607.12725</v>
      </c>
      <c r="L47" s="38">
        <v>489.32774999999998</v>
      </c>
      <c r="M47" s="38">
        <v>468.95625000000001</v>
      </c>
      <c r="N47" s="38">
        <v>426.6635</v>
      </c>
      <c r="O47" s="38">
        <v>581.8845</v>
      </c>
      <c r="P47" s="38">
        <v>777.40525000000002</v>
      </c>
      <c r="Q47" s="38">
        <v>887.67624999999998</v>
      </c>
      <c r="R47" s="38">
        <v>1029.6115</v>
      </c>
      <c r="S47" s="19">
        <f t="shared" si="44"/>
        <v>1</v>
      </c>
      <c r="T47" s="16">
        <f t="shared" si="45"/>
        <v>0.11412187482202858</v>
      </c>
      <c r="U47" s="16">
        <f t="shared" si="46"/>
        <v>0.107034768494789</v>
      </c>
      <c r="V47" s="16">
        <f t="shared" si="47"/>
        <v>9.4777350646392172E-2</v>
      </c>
      <c r="W47" s="16">
        <f t="shared" si="48"/>
        <v>8.3957543140269944E-2</v>
      </c>
      <c r="X47" s="16">
        <f t="shared" si="49"/>
        <v>6.915282760977276E-2</v>
      </c>
      <c r="Y47" s="16">
        <f t="shared" si="50"/>
        <v>5.5735263967196309E-2</v>
      </c>
      <c r="Z47" s="16">
        <f t="shared" si="51"/>
        <v>5.3414915427985647E-2</v>
      </c>
      <c r="AA47" s="16">
        <f t="shared" si="52"/>
        <v>4.8597699185602826E-2</v>
      </c>
      <c r="AB47" s="16">
        <f t="shared" si="53"/>
        <v>6.6277635400649237E-2</v>
      </c>
      <c r="AC47" s="16">
        <f t="shared" si="54"/>
        <v>8.8547781764337377E-2</v>
      </c>
      <c r="AD47" s="16">
        <f t="shared" si="55"/>
        <v>0.10110783643715474</v>
      </c>
      <c r="AE47" s="16">
        <f t="shared" si="56"/>
        <v>0.1172745031038214</v>
      </c>
      <c r="AF47" s="16">
        <f t="shared" si="57"/>
        <v>0.11412187482202858</v>
      </c>
      <c r="AG47" s="16">
        <f t="shared" si="58"/>
        <v>0.22115664331681759</v>
      </c>
      <c r="AH47" s="16">
        <f t="shared" si="59"/>
        <v>0.31593399396320976</v>
      </c>
      <c r="AI47" s="16">
        <f t="shared" si="60"/>
        <v>0.39989153710347969</v>
      </c>
      <c r="AJ47" s="16">
        <f t="shared" si="61"/>
        <v>0.46904436471325245</v>
      </c>
      <c r="AK47" s="16">
        <f t="shared" si="62"/>
        <v>0.52477962868044881</v>
      </c>
      <c r="AL47" s="16">
        <f t="shared" si="63"/>
        <v>0.57819454410843441</v>
      </c>
      <c r="AM47" s="16">
        <f t="shared" si="64"/>
        <v>0.62679224329403727</v>
      </c>
      <c r="AN47" s="16">
        <f t="shared" si="65"/>
        <v>0.6930698786946865</v>
      </c>
      <c r="AO47" s="16">
        <f t="shared" si="66"/>
        <v>0.78161766045902392</v>
      </c>
      <c r="AP47" s="16">
        <f t="shared" si="67"/>
        <v>0.88272549689617863</v>
      </c>
      <c r="AQ47" s="16">
        <f t="shared" si="68"/>
        <v>1</v>
      </c>
    </row>
    <row r="48" spans="2:43" x14ac:dyDescent="0.25">
      <c r="B48" s="3" t="s">
        <v>104</v>
      </c>
      <c r="C48" s="3" t="s">
        <v>105</v>
      </c>
      <c r="D48" s="3" cm="1">
        <f t="array" ref="D48">VLOOKUP($C48,BD!$C:$X,BD!G$1-1,FALSE)</f>
        <v>23.1</v>
      </c>
      <c r="E48" s="18">
        <f t="shared" si="42"/>
        <v>2607.1861038961038</v>
      </c>
      <c r="F48" s="18">
        <f t="shared" si="43"/>
        <v>60225.998999999996</v>
      </c>
      <c r="G48" s="38">
        <v>6789.7839999999997</v>
      </c>
      <c r="H48" s="38">
        <v>6151.57</v>
      </c>
      <c r="I48" s="38">
        <v>5415.0730000000003</v>
      </c>
      <c r="J48" s="38">
        <v>4523.067</v>
      </c>
      <c r="K48" s="38">
        <v>4221.9989999999998</v>
      </c>
      <c r="L48" s="38">
        <v>3728.098</v>
      </c>
      <c r="M48" s="38">
        <v>3601.2020000000002</v>
      </c>
      <c r="N48" s="38">
        <v>3571.3440000000001</v>
      </c>
      <c r="O48" s="38">
        <v>4255.5889999999999</v>
      </c>
      <c r="P48" s="38">
        <v>5520.82</v>
      </c>
      <c r="Q48" s="38">
        <v>5845.5259999999998</v>
      </c>
      <c r="R48" s="38">
        <v>6601.9269999999997</v>
      </c>
      <c r="S48" s="19">
        <f t="shared" si="44"/>
        <v>1.0000000000000002</v>
      </c>
      <c r="T48" s="16">
        <f t="shared" si="45"/>
        <v>0.11273842049510877</v>
      </c>
      <c r="U48" s="16">
        <f t="shared" si="46"/>
        <v>0.10214143562815786</v>
      </c>
      <c r="V48" s="16">
        <f t="shared" si="47"/>
        <v>8.9912547569364537E-2</v>
      </c>
      <c r="W48" s="16">
        <f t="shared" si="48"/>
        <v>7.5101568676345251E-2</v>
      </c>
      <c r="X48" s="16">
        <f t="shared" si="49"/>
        <v>7.0102598049058509E-2</v>
      </c>
      <c r="Y48" s="16">
        <f t="shared" si="50"/>
        <v>6.1901804235742111E-2</v>
      </c>
      <c r="Z48" s="16">
        <f t="shared" si="51"/>
        <v>5.9794807222707927E-2</v>
      </c>
      <c r="AA48" s="16">
        <f t="shared" si="52"/>
        <v>5.9299041266214617E-2</v>
      </c>
      <c r="AB48" s="16">
        <f t="shared" si="53"/>
        <v>7.0660330599082305E-2</v>
      </c>
      <c r="AC48" s="16">
        <f t="shared" si="54"/>
        <v>9.1668383948267929E-2</v>
      </c>
      <c r="AD48" s="16">
        <f t="shared" si="55"/>
        <v>9.7059842876163829E-2</v>
      </c>
      <c r="AE48" s="16">
        <f t="shared" si="56"/>
        <v>0.1096192194337864</v>
      </c>
      <c r="AF48" s="16">
        <f t="shared" si="57"/>
        <v>0.11273842049510877</v>
      </c>
      <c r="AG48" s="16">
        <f t="shared" si="58"/>
        <v>0.21487985612326663</v>
      </c>
      <c r="AH48" s="16">
        <f t="shared" si="59"/>
        <v>0.30479240369263116</v>
      </c>
      <c r="AI48" s="16">
        <f t="shared" si="60"/>
        <v>0.37989397236897643</v>
      </c>
      <c r="AJ48" s="16">
        <f t="shared" si="61"/>
        <v>0.44999657041803492</v>
      </c>
      <c r="AK48" s="16">
        <f t="shared" si="62"/>
        <v>0.51189837465377708</v>
      </c>
      <c r="AL48" s="16">
        <f t="shared" si="63"/>
        <v>0.57169318187648499</v>
      </c>
      <c r="AM48" s="16">
        <f t="shared" si="64"/>
        <v>0.63099222314269965</v>
      </c>
      <c r="AN48" s="16">
        <f t="shared" si="65"/>
        <v>0.70165255374178193</v>
      </c>
      <c r="AO48" s="16">
        <f t="shared" si="66"/>
        <v>0.79332093769004985</v>
      </c>
      <c r="AP48" s="16">
        <f t="shared" si="67"/>
        <v>0.89038078056621373</v>
      </c>
      <c r="AQ48" s="16">
        <f t="shared" si="68"/>
        <v>1.0000000000000002</v>
      </c>
    </row>
    <row r="49" spans="1:43" x14ac:dyDescent="0.25">
      <c r="B49" s="3" t="s">
        <v>99</v>
      </c>
      <c r="C49" s="3" t="s">
        <v>100</v>
      </c>
      <c r="D49" s="3" cm="1">
        <f t="array" ref="D49">VLOOKUP($C49,BD!$C:$X,BD!G$1-1,FALSE)</f>
        <v>24</v>
      </c>
      <c r="E49" s="18">
        <f t="shared" si="42"/>
        <v>2805.4166666666665</v>
      </c>
      <c r="F49" s="18">
        <f t="shared" si="43"/>
        <v>67330</v>
      </c>
      <c r="G49" s="38">
        <v>7954.0079999999998</v>
      </c>
      <c r="H49" s="38">
        <v>7085.567</v>
      </c>
      <c r="I49" s="38">
        <v>6179.7380000000003</v>
      </c>
      <c r="J49" s="38">
        <v>5064.8720000000003</v>
      </c>
      <c r="K49" s="38">
        <v>4555.0240000000003</v>
      </c>
      <c r="L49" s="38">
        <v>3791.9520000000002</v>
      </c>
      <c r="M49" s="38">
        <v>3542.127</v>
      </c>
      <c r="N49" s="38">
        <v>3542.127</v>
      </c>
      <c r="O49" s="38">
        <v>4646.7969999999996</v>
      </c>
      <c r="P49" s="38">
        <v>6444.8590000000004</v>
      </c>
      <c r="Q49" s="38">
        <v>6825.5450000000001</v>
      </c>
      <c r="R49" s="38">
        <v>7697.384</v>
      </c>
      <c r="S49" s="19">
        <f t="shared" si="44"/>
        <v>1.0000000000000002</v>
      </c>
      <c r="T49" s="16">
        <f t="shared" si="45"/>
        <v>0.11813467993465022</v>
      </c>
      <c r="U49" s="16">
        <f t="shared" si="46"/>
        <v>0.10523640279221744</v>
      </c>
      <c r="V49" s="16">
        <f t="shared" si="47"/>
        <v>9.1782830833209567E-2</v>
      </c>
      <c r="W49" s="16">
        <f t="shared" si="48"/>
        <v>7.5224595276993919E-2</v>
      </c>
      <c r="X49" s="16">
        <f t="shared" si="49"/>
        <v>6.7652220406950847E-2</v>
      </c>
      <c r="Y49" s="16">
        <f t="shared" si="50"/>
        <v>5.6318906876578055E-2</v>
      </c>
      <c r="Z49" s="16">
        <f t="shared" si="51"/>
        <v>5.2608450913411556E-2</v>
      </c>
      <c r="AA49" s="16">
        <f t="shared" si="52"/>
        <v>5.2608450913411556E-2</v>
      </c>
      <c r="AB49" s="16">
        <f t="shared" si="53"/>
        <v>6.9015253230357926E-2</v>
      </c>
      <c r="AC49" s="16">
        <f t="shared" si="54"/>
        <v>9.5720466359720785E-2</v>
      </c>
      <c r="AD49" s="16">
        <f t="shared" si="55"/>
        <v>0.10137449873756127</v>
      </c>
      <c r="AE49" s="16">
        <f t="shared" si="56"/>
        <v>0.11432324372493688</v>
      </c>
      <c r="AF49" s="16">
        <f t="shared" si="57"/>
        <v>0.11813467993465022</v>
      </c>
      <c r="AG49" s="16">
        <f t="shared" si="58"/>
        <v>0.22337108272686768</v>
      </c>
      <c r="AH49" s="16">
        <f t="shared" si="59"/>
        <v>0.31515391356007727</v>
      </c>
      <c r="AI49" s="16">
        <f t="shared" si="60"/>
        <v>0.3903785088370712</v>
      </c>
      <c r="AJ49" s="16">
        <f t="shared" si="61"/>
        <v>0.45803072924402205</v>
      </c>
      <c r="AK49" s="16">
        <f t="shared" si="62"/>
        <v>0.51434963612060014</v>
      </c>
      <c r="AL49" s="16">
        <f t="shared" si="63"/>
        <v>0.56695808703401174</v>
      </c>
      <c r="AM49" s="16">
        <f t="shared" si="64"/>
        <v>0.61956653794742333</v>
      </c>
      <c r="AN49" s="16">
        <f t="shared" si="65"/>
        <v>0.68858179117778129</v>
      </c>
      <c r="AO49" s="16">
        <f t="shared" si="66"/>
        <v>0.78430225753750205</v>
      </c>
      <c r="AP49" s="16">
        <f t="shared" si="67"/>
        <v>0.88567675627506337</v>
      </c>
      <c r="AQ49" s="16">
        <f t="shared" si="68"/>
        <v>1.0000000000000002</v>
      </c>
    </row>
    <row r="50" spans="1:43" x14ac:dyDescent="0.25">
      <c r="B50" s="3" t="s">
        <v>98</v>
      </c>
      <c r="C50" s="3" t="str">
        <f t="shared" ref="C50:C55" si="70">B50</f>
        <v>Voie des Monts</v>
      </c>
      <c r="D50" s="3" cm="1">
        <f t="array" ref="D50">VLOOKUP($C50,BD!$C:$X,BD!G$1-1,FALSE)</f>
        <v>10</v>
      </c>
      <c r="E50" s="18">
        <f t="shared" si="42"/>
        <v>2899.0001000000002</v>
      </c>
      <c r="F50" s="18">
        <f t="shared" si="43"/>
        <v>28990.001000000004</v>
      </c>
      <c r="G50" s="38">
        <v>3157.1880000000001</v>
      </c>
      <c r="H50" s="38">
        <v>2916.6979999999999</v>
      </c>
      <c r="I50" s="38">
        <v>2646.6959999999999</v>
      </c>
      <c r="J50" s="38">
        <v>2276.2280000000001</v>
      </c>
      <c r="K50" s="38">
        <v>2111.087</v>
      </c>
      <c r="L50" s="38">
        <v>1827.27</v>
      </c>
      <c r="M50" s="38">
        <v>1746.27</v>
      </c>
      <c r="N50" s="38">
        <v>1727.432</v>
      </c>
      <c r="O50" s="38">
        <v>2089.11</v>
      </c>
      <c r="P50" s="38">
        <v>2659.2539999999999</v>
      </c>
      <c r="Q50" s="38">
        <v>2752.8130000000001</v>
      </c>
      <c r="R50" s="38">
        <v>3079.9549999999999</v>
      </c>
      <c r="S50" s="19">
        <f t="shared" si="44"/>
        <v>0.99999999999999989</v>
      </c>
      <c r="T50" s="16">
        <f t="shared" si="45"/>
        <v>0.10890610179696095</v>
      </c>
      <c r="U50" s="16">
        <f t="shared" si="46"/>
        <v>0.10061048290408819</v>
      </c>
      <c r="V50" s="16">
        <f t="shared" si="47"/>
        <v>9.1296857837293605E-2</v>
      </c>
      <c r="W50" s="16">
        <f t="shared" si="48"/>
        <v>7.851769304871703E-2</v>
      </c>
      <c r="X50" s="16">
        <f t="shared" si="49"/>
        <v>7.2821211699854713E-2</v>
      </c>
      <c r="Y50" s="16">
        <f t="shared" si="50"/>
        <v>6.3031043013761875E-2</v>
      </c>
      <c r="Z50" s="16">
        <f t="shared" si="51"/>
        <v>6.0236976190514782E-2</v>
      </c>
      <c r="AA50" s="16">
        <f t="shared" si="52"/>
        <v>5.9587165933523069E-2</v>
      </c>
      <c r="AB50" s="16">
        <f t="shared" si="53"/>
        <v>7.2063122729799145E-2</v>
      </c>
      <c r="AC50" s="16">
        <f t="shared" si="54"/>
        <v>9.1730041678853319E-2</v>
      </c>
      <c r="AD50" s="16">
        <f t="shared" si="55"/>
        <v>9.4957326838312275E-2</v>
      </c>
      <c r="AE50" s="16">
        <f t="shared" si="56"/>
        <v>0.10624197632832091</v>
      </c>
      <c r="AF50" s="16">
        <f t="shared" si="57"/>
        <v>0.10890610179696095</v>
      </c>
      <c r="AG50" s="16">
        <f t="shared" si="58"/>
        <v>0.20951658470104914</v>
      </c>
      <c r="AH50" s="16">
        <f t="shared" si="59"/>
        <v>0.30081344253834275</v>
      </c>
      <c r="AI50" s="16">
        <f t="shared" si="60"/>
        <v>0.37933113558705978</v>
      </c>
      <c r="AJ50" s="16">
        <f t="shared" si="61"/>
        <v>0.4521523472869145</v>
      </c>
      <c r="AK50" s="16">
        <f t="shared" si="62"/>
        <v>0.51518339030067639</v>
      </c>
      <c r="AL50" s="16">
        <f t="shared" si="63"/>
        <v>0.57542036649119122</v>
      </c>
      <c r="AM50" s="16">
        <f t="shared" si="64"/>
        <v>0.6350075324247143</v>
      </c>
      <c r="AN50" s="16">
        <f t="shared" si="65"/>
        <v>0.70707065515451339</v>
      </c>
      <c r="AO50" s="16">
        <f t="shared" si="66"/>
        <v>0.79880069683336674</v>
      </c>
      <c r="AP50" s="16">
        <f t="shared" si="67"/>
        <v>0.893758023671679</v>
      </c>
      <c r="AQ50" s="16">
        <f t="shared" si="68"/>
        <v>0.99999999999999989</v>
      </c>
    </row>
    <row r="51" spans="1:43" x14ac:dyDescent="0.25">
      <c r="B51" s="3" t="s">
        <v>106</v>
      </c>
      <c r="C51" s="3" t="str">
        <f t="shared" si="70"/>
        <v>CdG</v>
      </c>
      <c r="D51" s="3" cm="1">
        <f t="array" ref="D51">VLOOKUP($C51,BD!$C:$X,BD!G$1-1,FALSE)</f>
        <v>29.7</v>
      </c>
      <c r="E51" s="18">
        <f t="shared" si="42"/>
        <v>2424.006734006734</v>
      </c>
      <c r="F51" s="18">
        <f t="shared" si="43"/>
        <v>71993</v>
      </c>
      <c r="G51" s="38">
        <v>8329.2469999999994</v>
      </c>
      <c r="H51" s="38">
        <v>7429.3360000000002</v>
      </c>
      <c r="I51" s="38">
        <v>6494.2610000000004</v>
      </c>
      <c r="J51" s="38">
        <v>5373.768</v>
      </c>
      <c r="K51" s="38">
        <v>4899.0379999999996</v>
      </c>
      <c r="L51" s="38">
        <v>4213.3159999999998</v>
      </c>
      <c r="M51" s="38">
        <v>4002.3240000000001</v>
      </c>
      <c r="N51" s="38">
        <v>4016.71</v>
      </c>
      <c r="O51" s="38">
        <v>5060.4780000000001</v>
      </c>
      <c r="P51" s="38">
        <v>6842.7160000000003</v>
      </c>
      <c r="Q51" s="38">
        <v>7243.92</v>
      </c>
      <c r="R51" s="38">
        <v>8087.8860000000004</v>
      </c>
      <c r="S51" s="19">
        <f t="shared" si="44"/>
        <v>1</v>
      </c>
      <c r="T51" s="16">
        <f t="shared" si="45"/>
        <v>0.11569523425888627</v>
      </c>
      <c r="U51" s="16">
        <f t="shared" si="46"/>
        <v>0.10319525509424528</v>
      </c>
      <c r="V51" s="16">
        <f t="shared" si="47"/>
        <v>9.0206839553845522E-2</v>
      </c>
      <c r="W51" s="16">
        <f t="shared" si="48"/>
        <v>7.4642923617573936E-2</v>
      </c>
      <c r="X51" s="16">
        <f t="shared" si="49"/>
        <v>6.8048810301001475E-2</v>
      </c>
      <c r="Y51" s="16">
        <f t="shared" si="50"/>
        <v>5.8523967607961885E-2</v>
      </c>
      <c r="Z51" s="16">
        <f t="shared" si="51"/>
        <v>5.5593238231494729E-2</v>
      </c>
      <c r="AA51" s="16">
        <f t="shared" si="52"/>
        <v>5.5793063214479188E-2</v>
      </c>
      <c r="AB51" s="16">
        <f t="shared" si="53"/>
        <v>7.029125053824678E-2</v>
      </c>
      <c r="AC51" s="16">
        <f t="shared" si="54"/>
        <v>9.5046962899170764E-2</v>
      </c>
      <c r="AD51" s="16">
        <f t="shared" si="55"/>
        <v>0.10061978247885212</v>
      </c>
      <c r="AE51" s="16">
        <f t="shared" si="56"/>
        <v>0.11234267220424209</v>
      </c>
      <c r="AF51" s="16">
        <f t="shared" si="57"/>
        <v>0.11569523425888627</v>
      </c>
      <c r="AG51" s="16">
        <f t="shared" si="58"/>
        <v>0.21889048935313155</v>
      </c>
      <c r="AH51" s="16">
        <f t="shared" si="59"/>
        <v>0.30909732890697705</v>
      </c>
      <c r="AI51" s="16">
        <f t="shared" si="60"/>
        <v>0.38374025252455102</v>
      </c>
      <c r="AJ51" s="16">
        <f t="shared" si="61"/>
        <v>0.45178906282555248</v>
      </c>
      <c r="AK51" s="16">
        <f t="shared" si="62"/>
        <v>0.51031303043351439</v>
      </c>
      <c r="AL51" s="16">
        <f t="shared" si="63"/>
        <v>0.56590626866500915</v>
      </c>
      <c r="AM51" s="16">
        <f t="shared" si="64"/>
        <v>0.62169933187948834</v>
      </c>
      <c r="AN51" s="16">
        <f t="shared" si="65"/>
        <v>0.69199058241773514</v>
      </c>
      <c r="AO51" s="16">
        <f t="shared" si="66"/>
        <v>0.78703754531690595</v>
      </c>
      <c r="AP51" s="16">
        <f t="shared" si="67"/>
        <v>0.88765732779575801</v>
      </c>
      <c r="AQ51" s="16">
        <f t="shared" si="68"/>
        <v>1</v>
      </c>
    </row>
    <row r="52" spans="1:43" x14ac:dyDescent="0.25">
      <c r="B52" s="3" t="s">
        <v>110</v>
      </c>
      <c r="C52" s="3" t="str">
        <f t="shared" si="70"/>
        <v>HC</v>
      </c>
      <c r="D52" s="3" cm="1">
        <f t="array" ref="D52">VLOOKUP($C52,BD!$C:$X,BD!G$1-1,FALSE)</f>
        <v>19.8</v>
      </c>
      <c r="E52" s="18">
        <f t="shared" si="42"/>
        <v>3331.3130808080805</v>
      </c>
      <c r="F52" s="18">
        <f t="shared" si="43"/>
        <v>65959.998999999996</v>
      </c>
      <c r="G52" s="38">
        <v>7462.7969999999996</v>
      </c>
      <c r="H52" s="38">
        <v>6778.335</v>
      </c>
      <c r="I52" s="38">
        <v>6036.4549999999999</v>
      </c>
      <c r="J52" s="38">
        <v>5054.3339999999998</v>
      </c>
      <c r="K52" s="38">
        <v>4691.7049999999999</v>
      </c>
      <c r="L52" s="38">
        <v>4034.44</v>
      </c>
      <c r="M52" s="38">
        <v>3810.8180000000002</v>
      </c>
      <c r="N52" s="38">
        <v>3777.5770000000002</v>
      </c>
      <c r="O52" s="38">
        <v>4638.8220000000001</v>
      </c>
      <c r="P52" s="38">
        <v>6074.2290000000003</v>
      </c>
      <c r="Q52" s="38">
        <v>6364.3329999999996</v>
      </c>
      <c r="R52" s="38">
        <v>7236.1540000000005</v>
      </c>
      <c r="S52" s="19">
        <f t="shared" si="44"/>
        <v>1</v>
      </c>
      <c r="T52" s="16">
        <f t="shared" ref="T52:T59" si="71">G52/$F52</f>
        <v>0.11314125398940651</v>
      </c>
      <c r="U52" s="16">
        <f t="shared" ref="U52:U59" si="72">H52/$F52</f>
        <v>0.10276432842274603</v>
      </c>
      <c r="V52" s="16">
        <f t="shared" ref="V52:V59" si="73">I52/$F52</f>
        <v>9.1516905571814827E-2</v>
      </c>
      <c r="W52" s="16">
        <f t="shared" ref="W52:W59" si="74">J52/$F52</f>
        <v>7.6627260106538211E-2</v>
      </c>
      <c r="X52" s="16">
        <f t="shared" ref="X52:X59" si="75">K52/$F52</f>
        <v>7.1129549289410995E-2</v>
      </c>
      <c r="Y52" s="16">
        <f t="shared" ref="Y52:Y59" si="76">L52/$F52</f>
        <v>6.1164949380911909E-2</v>
      </c>
      <c r="Z52" s="16">
        <f t="shared" ref="Z52:Z59" si="77">M52/$F52</f>
        <v>5.7774682501132248E-2</v>
      </c>
      <c r="AA52" s="16">
        <f t="shared" ref="AA52:AA59" si="78">N52/$F52</f>
        <v>5.7270725549889719E-2</v>
      </c>
      <c r="AB52" s="16">
        <f t="shared" ref="AB52:AB59" si="79">O52/$F52</f>
        <v>7.0327805796358486E-2</v>
      </c>
      <c r="AC52" s="16">
        <f t="shared" ref="AC52:AC59" si="80">P52/$F52</f>
        <v>9.2089585992868206E-2</v>
      </c>
      <c r="AD52" s="16">
        <f t="shared" ref="AD52:AD59" si="81">Q52/$F52</f>
        <v>9.6487766775132905E-2</v>
      </c>
      <c r="AE52" s="16">
        <f t="shared" ref="AE52:AE59" si="82">R52/$F52</f>
        <v>0.10970518662378999</v>
      </c>
      <c r="AF52" s="16">
        <f t="shared" si="57"/>
        <v>0.11314125398940651</v>
      </c>
      <c r="AG52" s="16">
        <f t="shared" si="58"/>
        <v>0.21590558241215255</v>
      </c>
      <c r="AH52" s="16">
        <f t="shared" si="59"/>
        <v>0.30742248798396737</v>
      </c>
      <c r="AI52" s="16">
        <f t="shared" si="60"/>
        <v>0.38404974809050557</v>
      </c>
      <c r="AJ52" s="16">
        <f t="shared" si="61"/>
        <v>0.45517929737991658</v>
      </c>
      <c r="AK52" s="16">
        <f t="shared" si="62"/>
        <v>0.51634424676082846</v>
      </c>
      <c r="AL52" s="16">
        <f t="shared" si="63"/>
        <v>0.57411892926196073</v>
      </c>
      <c r="AM52" s="16">
        <f t="shared" si="64"/>
        <v>0.6313896548118505</v>
      </c>
      <c r="AN52" s="16">
        <f t="shared" si="65"/>
        <v>0.70171746060820894</v>
      </c>
      <c r="AO52" s="16">
        <f t="shared" si="66"/>
        <v>0.79380704660107715</v>
      </c>
      <c r="AP52" s="16">
        <f t="shared" si="67"/>
        <v>0.89029481337621008</v>
      </c>
      <c r="AQ52" s="16">
        <f t="shared" si="68"/>
        <v>1</v>
      </c>
    </row>
    <row r="53" spans="1:43" x14ac:dyDescent="0.25">
      <c r="B53" s="3" t="s">
        <v>107</v>
      </c>
      <c r="C53" s="3" t="str">
        <f t="shared" si="70"/>
        <v>MET</v>
      </c>
      <c r="D53" s="3" cm="1">
        <f t="array" ref="D53">VLOOKUP($C53,BD!$C:$X,BD!G$1-1,FALSE)</f>
        <v>33</v>
      </c>
      <c r="E53" s="18">
        <f t="shared" si="42"/>
        <v>2792.4242727272731</v>
      </c>
      <c r="F53" s="18">
        <f t="shared" si="43"/>
        <v>92150.001000000018</v>
      </c>
      <c r="G53" s="38">
        <v>10710.496999999999</v>
      </c>
      <c r="H53" s="38">
        <v>9624.8119999999999</v>
      </c>
      <c r="I53" s="38">
        <v>8413.0910000000003</v>
      </c>
      <c r="J53" s="38">
        <v>6944.8739999999998</v>
      </c>
      <c r="K53" s="38">
        <v>6356.7030000000004</v>
      </c>
      <c r="L53" s="38">
        <v>5410.3220000000001</v>
      </c>
      <c r="M53" s="38">
        <v>5098.5469999999996</v>
      </c>
      <c r="N53" s="38">
        <v>5060.9570000000003</v>
      </c>
      <c r="O53" s="38">
        <v>6381.0249999999996</v>
      </c>
      <c r="P53" s="38">
        <v>8618.73</v>
      </c>
      <c r="Q53" s="38">
        <v>9140.5660000000007</v>
      </c>
      <c r="R53" s="38">
        <v>10389.877</v>
      </c>
      <c r="S53" s="19">
        <f t="shared" si="44"/>
        <v>0.99999999999999978</v>
      </c>
      <c r="T53" s="16">
        <f t="shared" si="71"/>
        <v>0.11622894068118347</v>
      </c>
      <c r="U53" s="16">
        <f t="shared" si="72"/>
        <v>0.10444722621326936</v>
      </c>
      <c r="V53" s="16">
        <f t="shared" si="73"/>
        <v>9.129778522737074E-2</v>
      </c>
      <c r="W53" s="16">
        <f t="shared" si="74"/>
        <v>7.5364882524526486E-2</v>
      </c>
      <c r="X53" s="16">
        <f t="shared" si="75"/>
        <v>6.8982126218316578E-2</v>
      </c>
      <c r="Y53" s="16">
        <f t="shared" si="76"/>
        <v>5.8712120903829386E-2</v>
      </c>
      <c r="Z53" s="16">
        <f t="shared" si="77"/>
        <v>5.5328778563985027E-2</v>
      </c>
      <c r="AA53" s="16">
        <f t="shared" si="78"/>
        <v>5.4920856701889773E-2</v>
      </c>
      <c r="AB53" s="16">
        <f t="shared" si="79"/>
        <v>6.9246065444969432E-2</v>
      </c>
      <c r="AC53" s="16">
        <f t="shared" si="80"/>
        <v>9.3529353298650517E-2</v>
      </c>
      <c r="AD53" s="16">
        <f t="shared" si="81"/>
        <v>9.9192250687007572E-2</v>
      </c>
      <c r="AE53" s="16">
        <f t="shared" si="82"/>
        <v>0.11274961353500146</v>
      </c>
      <c r="AF53" s="16">
        <f t="shared" si="57"/>
        <v>0.11622894068118347</v>
      </c>
      <c r="AG53" s="16">
        <f t="shared" si="58"/>
        <v>0.22067616689445285</v>
      </c>
      <c r="AH53" s="16">
        <f t="shared" si="59"/>
        <v>0.31197395212182361</v>
      </c>
      <c r="AI53" s="16">
        <f t="shared" si="60"/>
        <v>0.38733883464635011</v>
      </c>
      <c r="AJ53" s="16">
        <f t="shared" si="61"/>
        <v>0.45632096086466667</v>
      </c>
      <c r="AK53" s="16">
        <f t="shared" si="62"/>
        <v>0.51503308176849605</v>
      </c>
      <c r="AL53" s="16">
        <f t="shared" si="63"/>
        <v>0.57036186033248104</v>
      </c>
      <c r="AM53" s="16">
        <f t="shared" si="64"/>
        <v>0.62528271703437077</v>
      </c>
      <c r="AN53" s="16">
        <f t="shared" si="65"/>
        <v>0.69452878247934025</v>
      </c>
      <c r="AO53" s="16">
        <f t="shared" si="66"/>
        <v>0.78805813577799078</v>
      </c>
      <c r="AP53" s="16">
        <f t="shared" si="67"/>
        <v>0.88725038646499832</v>
      </c>
      <c r="AQ53" s="16">
        <f t="shared" si="68"/>
        <v>0.99999999999999978</v>
      </c>
    </row>
    <row r="54" spans="1:43" x14ac:dyDescent="0.25">
      <c r="B54" s="3" t="s">
        <v>112</v>
      </c>
      <c r="C54" s="3" t="str">
        <f t="shared" si="70"/>
        <v>Le Pelon</v>
      </c>
      <c r="D54" s="3" cm="1">
        <f t="array" ref="D54">VLOOKUP($C54,BD!$C:$X,BD!G$1-1,FALSE)</f>
        <v>10</v>
      </c>
      <c r="E54" s="18">
        <f t="shared" si="42"/>
        <v>2870</v>
      </c>
      <c r="F54" s="18">
        <f t="shared" si="43"/>
        <v>28700</v>
      </c>
      <c r="G54" s="38">
        <v>3065.1129999999998</v>
      </c>
      <c r="H54" s="38">
        <v>3020.9679999999998</v>
      </c>
      <c r="I54" s="38">
        <v>2745.7489999999998</v>
      </c>
      <c r="J54" s="38">
        <v>2502.9499999999998</v>
      </c>
      <c r="K54" s="38">
        <v>2029.7670000000001</v>
      </c>
      <c r="L54" s="38">
        <v>1789.7260000000001</v>
      </c>
      <c r="M54" s="38">
        <v>1581.415</v>
      </c>
      <c r="N54" s="38">
        <v>1501.402</v>
      </c>
      <c r="O54" s="38">
        <v>1980.7929999999999</v>
      </c>
      <c r="P54" s="38">
        <v>2536.0590000000002</v>
      </c>
      <c r="Q54" s="38">
        <v>2797.482</v>
      </c>
      <c r="R54" s="38">
        <v>3148.576</v>
      </c>
      <c r="S54" s="19">
        <f t="shared" si="44"/>
        <v>1</v>
      </c>
      <c r="T54" s="16">
        <f t="shared" si="71"/>
        <v>0.10679836236933797</v>
      </c>
      <c r="U54" s="16">
        <f t="shared" si="72"/>
        <v>0.10526020905923344</v>
      </c>
      <c r="V54" s="16">
        <f t="shared" si="73"/>
        <v>9.567069686411149E-2</v>
      </c>
      <c r="W54" s="16">
        <f t="shared" si="74"/>
        <v>8.7210801393728221E-2</v>
      </c>
      <c r="X54" s="16">
        <f t="shared" si="75"/>
        <v>7.0723588850174213E-2</v>
      </c>
      <c r="Y54" s="16">
        <f t="shared" si="76"/>
        <v>6.2359790940766553E-2</v>
      </c>
      <c r="Z54" s="16">
        <f t="shared" si="77"/>
        <v>5.5101567944250869E-2</v>
      </c>
      <c r="AA54" s="16">
        <f t="shared" si="78"/>
        <v>5.2313658536585365E-2</v>
      </c>
      <c r="AB54" s="16">
        <f t="shared" si="79"/>
        <v>6.9017177700348431E-2</v>
      </c>
      <c r="AC54" s="16">
        <f t="shared" si="80"/>
        <v>8.8364425087108026E-2</v>
      </c>
      <c r="AD54" s="16">
        <f t="shared" si="81"/>
        <v>9.7473240418118459E-2</v>
      </c>
      <c r="AE54" s="16">
        <f t="shared" si="82"/>
        <v>0.10970648083623694</v>
      </c>
      <c r="AF54" s="16">
        <f t="shared" si="57"/>
        <v>0.10679836236933797</v>
      </c>
      <c r="AG54" s="16">
        <f t="shared" si="58"/>
        <v>0.21205857142857143</v>
      </c>
      <c r="AH54" s="16">
        <f t="shared" si="59"/>
        <v>0.30772926829268293</v>
      </c>
      <c r="AI54" s="16">
        <f t="shared" si="60"/>
        <v>0.39494006968641115</v>
      </c>
      <c r="AJ54" s="16">
        <f t="shared" si="61"/>
        <v>0.46566365853658537</v>
      </c>
      <c r="AK54" s="16">
        <f t="shared" si="62"/>
        <v>0.52802344947735191</v>
      </c>
      <c r="AL54" s="16">
        <f t="shared" si="63"/>
        <v>0.58312501742160283</v>
      </c>
      <c r="AM54" s="16">
        <f t="shared" si="64"/>
        <v>0.63543867595818815</v>
      </c>
      <c r="AN54" s="16">
        <f t="shared" si="65"/>
        <v>0.70445585365853658</v>
      </c>
      <c r="AO54" s="16">
        <f t="shared" si="66"/>
        <v>0.79282027874564465</v>
      </c>
      <c r="AP54" s="16">
        <f t="shared" si="67"/>
        <v>0.89029351916376309</v>
      </c>
      <c r="AQ54" s="16">
        <f t="shared" si="68"/>
        <v>1</v>
      </c>
    </row>
    <row r="55" spans="1:43" x14ac:dyDescent="0.25">
      <c r="B55" s="3" t="s">
        <v>113</v>
      </c>
      <c r="C55" s="3" t="str">
        <f t="shared" si="70"/>
        <v>SA</v>
      </c>
      <c r="D55" s="3" cm="1">
        <f t="array" ref="D55">VLOOKUP($C55,BD!$C:$X,BD!G$1-1,FALSE)</f>
        <v>23.1</v>
      </c>
      <c r="E55" s="18">
        <f t="shared" si="42"/>
        <v>2575.3246753246749</v>
      </c>
      <c r="F55" s="18">
        <f t="shared" si="43"/>
        <v>59489.999999999993</v>
      </c>
      <c r="G55" s="38">
        <v>6807.53</v>
      </c>
      <c r="H55" s="38">
        <v>6154.8159999999998</v>
      </c>
      <c r="I55" s="38">
        <v>5422.5360000000001</v>
      </c>
      <c r="J55" s="38">
        <v>4489.317</v>
      </c>
      <c r="K55" s="38">
        <v>4181.8410000000003</v>
      </c>
      <c r="L55" s="38">
        <v>3608.6930000000002</v>
      </c>
      <c r="M55" s="38">
        <v>3445.5149999999999</v>
      </c>
      <c r="N55" s="38">
        <v>3406.4059999999999</v>
      </c>
      <c r="O55" s="38">
        <v>4142.732</v>
      </c>
      <c r="P55" s="38">
        <v>5469.7359999999999</v>
      </c>
      <c r="Q55" s="38">
        <v>5761.03</v>
      </c>
      <c r="R55" s="38">
        <v>6599.848</v>
      </c>
      <c r="S55" s="19">
        <f t="shared" si="44"/>
        <v>1</v>
      </c>
      <c r="T55" s="16">
        <f t="shared" si="71"/>
        <v>0.11443150109262062</v>
      </c>
      <c r="U55" s="16">
        <f t="shared" si="72"/>
        <v>0.10345967389477224</v>
      </c>
      <c r="V55" s="16">
        <f t="shared" si="73"/>
        <v>9.1150378214826036E-2</v>
      </c>
      <c r="W55" s="16">
        <f t="shared" si="74"/>
        <v>7.5463388804841158E-2</v>
      </c>
      <c r="X55" s="16">
        <f t="shared" si="75"/>
        <v>7.0294856278366125E-2</v>
      </c>
      <c r="Y55" s="16">
        <f t="shared" si="76"/>
        <v>6.066049756261558E-2</v>
      </c>
      <c r="Z55" s="16">
        <f t="shared" si="77"/>
        <v>5.7917549167927386E-2</v>
      </c>
      <c r="AA55" s="16">
        <f t="shared" si="78"/>
        <v>5.7260144562111287E-2</v>
      </c>
      <c r="AB55" s="16">
        <f t="shared" si="79"/>
        <v>6.9637451672550019E-2</v>
      </c>
      <c r="AC55" s="16">
        <f t="shared" si="80"/>
        <v>9.1943788872079352E-2</v>
      </c>
      <c r="AD55" s="16">
        <f t="shared" si="81"/>
        <v>9.6840309295679952E-2</v>
      </c>
      <c r="AE55" s="16">
        <f t="shared" si="82"/>
        <v>0.11094046058161036</v>
      </c>
      <c r="AF55" s="16">
        <f t="shared" ref="AF55" si="83">T55</f>
        <v>0.11443150109262062</v>
      </c>
      <c r="AG55" s="16">
        <f t="shared" ref="AG55" si="84">AF55+U55</f>
        <v>0.21789117498739285</v>
      </c>
      <c r="AH55" s="16">
        <f t="shared" ref="AH55" si="85">AG55+V55</f>
        <v>0.30904155320221888</v>
      </c>
      <c r="AI55" s="16">
        <f t="shared" ref="AI55" si="86">AH55+W55</f>
        <v>0.38450494200706004</v>
      </c>
      <c r="AJ55" s="16">
        <f t="shared" ref="AJ55" si="87">AI55+X55</f>
        <v>0.45479979828542616</v>
      </c>
      <c r="AK55" s="16">
        <f t="shared" ref="AK55" si="88">AJ55+Y55</f>
        <v>0.51546029584804176</v>
      </c>
      <c r="AL55" s="16">
        <f t="shared" ref="AL55" si="89">AK55+Z55</f>
        <v>0.57337784501596911</v>
      </c>
      <c r="AM55" s="16">
        <f t="shared" ref="AM55" si="90">AL55+AA55</f>
        <v>0.63063798957808037</v>
      </c>
      <c r="AN55" s="16">
        <f t="shared" ref="AN55" si="91">AM55+AB55</f>
        <v>0.70027544125063035</v>
      </c>
      <c r="AO55" s="16">
        <f t="shared" ref="AO55" si="92">AN55+AC55</f>
        <v>0.79221923012270967</v>
      </c>
      <c r="AP55" s="16">
        <f t="shared" ref="AP55" si="93">AO55+AD55</f>
        <v>0.88905953941838967</v>
      </c>
      <c r="AQ55" s="16">
        <f t="shared" ref="AQ55" si="94">AP55+AE55</f>
        <v>1</v>
      </c>
    </row>
    <row r="56" spans="1:43" x14ac:dyDescent="0.25">
      <c r="B56" s="3" t="s">
        <v>114</v>
      </c>
      <c r="C56" s="3" t="s">
        <v>115</v>
      </c>
      <c r="D56" s="3" cm="1">
        <f t="array" ref="D56">VLOOKUP($C56,BD!$C:$X,BD!G$1-1,FALSE)</f>
        <v>19.8</v>
      </c>
      <c r="E56" s="18">
        <f t="shared" si="42"/>
        <v>2681.818181818182</v>
      </c>
      <c r="F56" s="18">
        <f t="shared" si="43"/>
        <v>53100.000000000007</v>
      </c>
      <c r="G56" s="38">
        <v>6227.7115765049084</v>
      </c>
      <c r="H56" s="38">
        <v>5570.874526658059</v>
      </c>
      <c r="I56" s="38">
        <v>4892.5025871013631</v>
      </c>
      <c r="J56" s="38">
        <v>4035.1158993455147</v>
      </c>
      <c r="K56" s="38">
        <v>3612.4787450746485</v>
      </c>
      <c r="L56" s="38">
        <v>3004.0971895703037</v>
      </c>
      <c r="M56" s="38">
        <v>2784.7035269175144</v>
      </c>
      <c r="N56" s="38">
        <v>2790.0872493449765</v>
      </c>
      <c r="O56" s="38">
        <v>3677.0854066995389</v>
      </c>
      <c r="P56" s="38">
        <v>5107.8584579335547</v>
      </c>
      <c r="Q56" s="38">
        <v>5360.9023782533277</v>
      </c>
      <c r="R56" s="38">
        <v>6036.5824565962948</v>
      </c>
      <c r="S56" s="19">
        <f t="shared" si="44"/>
        <v>1</v>
      </c>
      <c r="T56" s="16">
        <f t="shared" si="71"/>
        <v>0.11728270388898131</v>
      </c>
      <c r="U56" s="16">
        <f t="shared" si="72"/>
        <v>0.10491289127416306</v>
      </c>
      <c r="V56" s="16">
        <f t="shared" si="73"/>
        <v>9.2137525180816623E-2</v>
      </c>
      <c r="W56" s="16">
        <f t="shared" si="74"/>
        <v>7.5990883226845843E-2</v>
      </c>
      <c r="X56" s="16">
        <f t="shared" si="75"/>
        <v>6.80316147848333E-2</v>
      </c>
      <c r="Y56" s="16">
        <f t="shared" si="76"/>
        <v>5.6574335020156373E-2</v>
      </c>
      <c r="Z56" s="16">
        <f t="shared" si="77"/>
        <v>5.2442627625565237E-2</v>
      </c>
      <c r="AA56" s="16">
        <f t="shared" si="78"/>
        <v>5.2544015995197292E-2</v>
      </c>
      <c r="AB56" s="16">
        <f t="shared" si="79"/>
        <v>6.9248312743870777E-2</v>
      </c>
      <c r="AC56" s="16">
        <f t="shared" si="80"/>
        <v>9.6193191298183697E-2</v>
      </c>
      <c r="AD56" s="16">
        <f t="shared" si="81"/>
        <v>0.100958613526428</v>
      </c>
      <c r="AE56" s="16">
        <f t="shared" si="82"/>
        <v>0.11368328543495845</v>
      </c>
      <c r="AF56" s="16">
        <f t="shared" si="57"/>
        <v>0.11728270388898131</v>
      </c>
      <c r="AG56" s="16">
        <f t="shared" si="58"/>
        <v>0.22219559516314435</v>
      </c>
      <c r="AH56" s="16">
        <f t="shared" si="59"/>
        <v>0.31433312034396099</v>
      </c>
      <c r="AI56" s="16">
        <f t="shared" si="60"/>
        <v>0.39032400357080682</v>
      </c>
      <c r="AJ56" s="16">
        <f t="shared" si="61"/>
        <v>0.45835561835564009</v>
      </c>
      <c r="AK56" s="16">
        <f t="shared" si="62"/>
        <v>0.5149299533757965</v>
      </c>
      <c r="AL56" s="16">
        <f t="shared" si="63"/>
        <v>0.56737258100136179</v>
      </c>
      <c r="AM56" s="16">
        <f t="shared" si="64"/>
        <v>0.6199165969965591</v>
      </c>
      <c r="AN56" s="16">
        <f t="shared" si="65"/>
        <v>0.68916490974042988</v>
      </c>
      <c r="AO56" s="16">
        <f t="shared" si="66"/>
        <v>0.78535810103861359</v>
      </c>
      <c r="AP56" s="16">
        <f t="shared" si="67"/>
        <v>0.88631671456504157</v>
      </c>
      <c r="AQ56" s="16">
        <f t="shared" si="68"/>
        <v>1</v>
      </c>
    </row>
    <row r="57" spans="1:43" x14ac:dyDescent="0.25">
      <c r="B57" s="3" t="s">
        <v>116</v>
      </c>
      <c r="C57" s="3" t="str">
        <f t="shared" ref="C57:C87" si="95">B57</f>
        <v>CAT</v>
      </c>
      <c r="D57" s="3" cm="1">
        <f t="array" ref="D57">VLOOKUP($C57,BD!$C:$X,BD!G$1-1,FALSE)</f>
        <v>10</v>
      </c>
      <c r="E57" s="18">
        <f t="shared" si="42"/>
        <v>3280.0001999999999</v>
      </c>
      <c r="F57" s="18">
        <f t="shared" si="43"/>
        <v>32800.002</v>
      </c>
      <c r="G57" s="38">
        <v>3612.9580000000001</v>
      </c>
      <c r="H57" s="38">
        <v>3286.902</v>
      </c>
      <c r="I57" s="38">
        <v>2951.8780000000002</v>
      </c>
      <c r="J57" s="38">
        <v>2532.9380000000001</v>
      </c>
      <c r="K57" s="38">
        <v>2331.7959999999998</v>
      </c>
      <c r="L57" s="38">
        <v>2044.175</v>
      </c>
      <c r="M57" s="38">
        <v>1943.604</v>
      </c>
      <c r="N57" s="38">
        <v>1946.807</v>
      </c>
      <c r="O57" s="38">
        <v>2372.1529999999998</v>
      </c>
      <c r="P57" s="38">
        <v>3062.6990000000001</v>
      </c>
      <c r="Q57" s="38">
        <v>3192.7370000000001</v>
      </c>
      <c r="R57" s="38">
        <v>3521.355</v>
      </c>
      <c r="S57" s="19">
        <f t="shared" si="44"/>
        <v>1</v>
      </c>
      <c r="T57" s="16">
        <f t="shared" si="71"/>
        <v>0.11015115182005172</v>
      </c>
      <c r="U57" s="16">
        <f t="shared" si="72"/>
        <v>0.10021042071887679</v>
      </c>
      <c r="V57" s="16">
        <f t="shared" si="73"/>
        <v>8.9996275000227138E-2</v>
      </c>
      <c r="W57" s="16">
        <f t="shared" si="74"/>
        <v>7.7223714803432028E-2</v>
      </c>
      <c r="X57" s="16">
        <f t="shared" si="75"/>
        <v>7.1091337128577001E-2</v>
      </c>
      <c r="Y57" s="16">
        <f t="shared" si="76"/>
        <v>6.2322404736438734E-2</v>
      </c>
      <c r="Z57" s="16">
        <f t="shared" si="77"/>
        <v>5.9256215899011228E-2</v>
      </c>
      <c r="AA57" s="16">
        <f t="shared" si="78"/>
        <v>5.93538683320812E-2</v>
      </c>
      <c r="AB57" s="16">
        <f t="shared" si="79"/>
        <v>7.2321733395016255E-2</v>
      </c>
      <c r="AC57" s="16">
        <f t="shared" si="80"/>
        <v>9.3374963818599763E-2</v>
      </c>
      <c r="AD57" s="16">
        <f t="shared" si="81"/>
        <v>9.7339536747589217E-2</v>
      </c>
      <c r="AE57" s="16">
        <f t="shared" si="82"/>
        <v>0.10735837760009892</v>
      </c>
      <c r="AF57" s="16">
        <f t="shared" si="57"/>
        <v>0.11015115182005172</v>
      </c>
      <c r="AG57" s="16">
        <f t="shared" si="58"/>
        <v>0.21036157253892851</v>
      </c>
      <c r="AH57" s="16">
        <f t="shared" si="59"/>
        <v>0.30035784753915562</v>
      </c>
      <c r="AI57" s="16">
        <f t="shared" si="60"/>
        <v>0.37758156234258766</v>
      </c>
      <c r="AJ57" s="16">
        <f t="shared" si="61"/>
        <v>0.44867289947116468</v>
      </c>
      <c r="AK57" s="16">
        <f t="shared" si="62"/>
        <v>0.51099530420760342</v>
      </c>
      <c r="AL57" s="16">
        <f t="shared" si="63"/>
        <v>0.57025152010661462</v>
      </c>
      <c r="AM57" s="16">
        <f t="shared" si="64"/>
        <v>0.62960538843869585</v>
      </c>
      <c r="AN57" s="16">
        <f t="shared" si="65"/>
        <v>0.70192712183371209</v>
      </c>
      <c r="AO57" s="16">
        <f t="shared" si="66"/>
        <v>0.79530208565231186</v>
      </c>
      <c r="AP57" s="16">
        <f t="shared" si="67"/>
        <v>0.89264162239990108</v>
      </c>
      <c r="AQ57" s="16">
        <f t="shared" si="68"/>
        <v>1</v>
      </c>
    </row>
    <row r="58" spans="1:43" x14ac:dyDescent="0.25">
      <c r="B58" s="3" t="s">
        <v>118</v>
      </c>
      <c r="C58" s="3" t="str">
        <f t="shared" si="95"/>
        <v>RIB 1</v>
      </c>
      <c r="D58" s="3" cm="1">
        <f t="array" ref="D58">VLOOKUP($C58,BD!$C:$X,BD!G$1-1,FALSE)</f>
        <v>24.15</v>
      </c>
      <c r="E58" s="18">
        <f t="shared" si="42"/>
        <v>3080.7453416149069</v>
      </c>
      <c r="F58" s="18">
        <f t="shared" si="43"/>
        <v>74400</v>
      </c>
      <c r="G58" s="38">
        <v>8500.5069999999996</v>
      </c>
      <c r="H58" s="38">
        <v>7658.3209999999999</v>
      </c>
      <c r="I58" s="38">
        <v>6713.3090000000002</v>
      </c>
      <c r="J58" s="38">
        <v>5608.348</v>
      </c>
      <c r="K58" s="38">
        <v>5162.7719999999999</v>
      </c>
      <c r="L58" s="38">
        <v>4474.0079999999998</v>
      </c>
      <c r="M58" s="38">
        <v>4260.1970000000001</v>
      </c>
      <c r="N58" s="38">
        <v>4243.875</v>
      </c>
      <c r="O58" s="38">
        <v>5231.3220000000001</v>
      </c>
      <c r="P58" s="38">
        <v>6933.6490000000003</v>
      </c>
      <c r="Q58" s="38">
        <v>7356.3739999999998</v>
      </c>
      <c r="R58" s="38">
        <v>8257.3179999999993</v>
      </c>
      <c r="S58" s="19">
        <f t="shared" si="44"/>
        <v>1</v>
      </c>
      <c r="T58" s="16">
        <f t="shared" si="71"/>
        <v>0.11425412634408602</v>
      </c>
      <c r="U58" s="16">
        <f t="shared" si="72"/>
        <v>0.10293442204301075</v>
      </c>
      <c r="V58" s="16">
        <f t="shared" si="73"/>
        <v>9.0232647849462375E-2</v>
      </c>
      <c r="W58" s="16">
        <f t="shared" si="74"/>
        <v>7.5381021505376344E-2</v>
      </c>
      <c r="X58" s="16">
        <f t="shared" si="75"/>
        <v>6.9392096774193543E-2</v>
      </c>
      <c r="Y58" s="16">
        <f t="shared" si="76"/>
        <v>6.0134516129032256E-2</v>
      </c>
      <c r="Z58" s="16">
        <f t="shared" si="77"/>
        <v>5.7260712365591403E-2</v>
      </c>
      <c r="AA58" s="16">
        <f t="shared" si="78"/>
        <v>5.7041330645161294E-2</v>
      </c>
      <c r="AB58" s="16">
        <f t="shared" si="79"/>
        <v>7.031346774193549E-2</v>
      </c>
      <c r="AC58" s="16">
        <f t="shared" si="80"/>
        <v>9.3194206989247311E-2</v>
      </c>
      <c r="AD58" s="16">
        <f t="shared" si="81"/>
        <v>9.8875994623655913E-2</v>
      </c>
      <c r="AE58" s="16">
        <f t="shared" si="82"/>
        <v>0.11098545698924731</v>
      </c>
      <c r="AF58" s="16">
        <f t="shared" si="57"/>
        <v>0.11425412634408602</v>
      </c>
      <c r="AG58" s="16">
        <f t="shared" si="58"/>
        <v>0.21718854838709678</v>
      </c>
      <c r="AH58" s="16">
        <f t="shared" si="59"/>
        <v>0.30742119623655917</v>
      </c>
      <c r="AI58" s="16">
        <f t="shared" si="60"/>
        <v>0.38280221774193551</v>
      </c>
      <c r="AJ58" s="16">
        <f t="shared" si="61"/>
        <v>0.45219431451612907</v>
      </c>
      <c r="AK58" s="16">
        <f t="shared" si="62"/>
        <v>0.51232883064516133</v>
      </c>
      <c r="AL58" s="16">
        <f t="shared" si="63"/>
        <v>0.56958954301075271</v>
      </c>
      <c r="AM58" s="16">
        <f t="shared" si="64"/>
        <v>0.62663087365591397</v>
      </c>
      <c r="AN58" s="16">
        <f t="shared" si="65"/>
        <v>0.69694434139784944</v>
      </c>
      <c r="AO58" s="16">
        <f t="shared" si="66"/>
        <v>0.79013854838709674</v>
      </c>
      <c r="AP58" s="16">
        <f t="shared" si="67"/>
        <v>0.88901454301075267</v>
      </c>
      <c r="AQ58" s="16">
        <f t="shared" si="68"/>
        <v>1</v>
      </c>
    </row>
    <row r="59" spans="1:43" x14ac:dyDescent="0.25">
      <c r="B59" s="3" t="s">
        <v>148</v>
      </c>
      <c r="C59" s="3" t="str">
        <f t="shared" ref="C59" si="96">B59</f>
        <v>RIB 2</v>
      </c>
      <c r="D59" s="3" cm="1">
        <f t="array" ref="D59">VLOOKUP($C59,BD!$C:$X,BD!G$1-1,FALSE)</f>
        <v>19.799999999999997</v>
      </c>
      <c r="E59" s="18">
        <f t="shared" si="42"/>
        <v>3080.7453416149069</v>
      </c>
      <c r="F59" s="18">
        <f t="shared" si="43"/>
        <v>60998.757763975147</v>
      </c>
      <c r="G59" s="38">
        <f>G58*$D$59/$D$58</f>
        <v>6969.3597763975149</v>
      </c>
      <c r="H59" s="38">
        <f t="shared" ref="H59:R59" si="97">H58*$D$59/$D$58</f>
        <v>6278.8718757763972</v>
      </c>
      <c r="I59" s="38">
        <f t="shared" si="97"/>
        <v>5504.0794285714283</v>
      </c>
      <c r="J59" s="38">
        <f t="shared" si="97"/>
        <v>4598.1486708074526</v>
      </c>
      <c r="K59" s="38">
        <f t="shared" si="97"/>
        <v>4232.8317018633534</v>
      </c>
      <c r="L59" s="38">
        <f t="shared" si="97"/>
        <v>3668.130782608695</v>
      </c>
      <c r="M59" s="38">
        <f t="shared" si="97"/>
        <v>3492.8323229813664</v>
      </c>
      <c r="N59" s="38">
        <f t="shared" si="97"/>
        <v>3479.4503105590061</v>
      </c>
      <c r="O59" s="38">
        <f t="shared" si="97"/>
        <v>4289.0341863354033</v>
      </c>
      <c r="P59" s="38">
        <f t="shared" si="97"/>
        <v>5684.7308571428566</v>
      </c>
      <c r="Q59" s="38">
        <f t="shared" si="97"/>
        <v>6031.3128447204963</v>
      </c>
      <c r="R59" s="38">
        <f t="shared" si="97"/>
        <v>6769.9750062111789</v>
      </c>
      <c r="S59" s="19">
        <f t="shared" ref="S59" si="98">SUM(T59:AE59)</f>
        <v>1</v>
      </c>
      <c r="T59" s="16">
        <f t="shared" si="71"/>
        <v>0.11425412634408602</v>
      </c>
      <c r="U59" s="16">
        <f t="shared" si="72"/>
        <v>0.10293442204301076</v>
      </c>
      <c r="V59" s="16">
        <f t="shared" si="73"/>
        <v>9.0232647849462375E-2</v>
      </c>
      <c r="W59" s="16">
        <f t="shared" si="74"/>
        <v>7.5381021505376344E-2</v>
      </c>
      <c r="X59" s="16">
        <f t="shared" si="75"/>
        <v>6.9392096774193543E-2</v>
      </c>
      <c r="Y59" s="16">
        <f t="shared" si="76"/>
        <v>6.0134516129032256E-2</v>
      </c>
      <c r="Z59" s="16">
        <f t="shared" si="77"/>
        <v>5.7260712365591403E-2</v>
      </c>
      <c r="AA59" s="16">
        <f t="shared" si="78"/>
        <v>5.7041330645161294E-2</v>
      </c>
      <c r="AB59" s="16">
        <f t="shared" si="79"/>
        <v>7.031346774193549E-2</v>
      </c>
      <c r="AC59" s="16">
        <f t="shared" si="80"/>
        <v>9.3194206989247311E-2</v>
      </c>
      <c r="AD59" s="16">
        <f t="shared" si="81"/>
        <v>9.8875994623655913E-2</v>
      </c>
      <c r="AE59" s="16">
        <f t="shared" si="82"/>
        <v>0.11098545698924731</v>
      </c>
      <c r="AF59" s="16">
        <f t="shared" ref="AF59" si="99">T59</f>
        <v>0.11425412634408602</v>
      </c>
      <c r="AG59" s="16">
        <f t="shared" ref="AG59" si="100">AF59+U59</f>
        <v>0.21718854838709678</v>
      </c>
      <c r="AH59" s="16">
        <f t="shared" ref="AH59" si="101">AG59+V59</f>
        <v>0.30742119623655917</v>
      </c>
      <c r="AI59" s="16">
        <f t="shared" ref="AI59" si="102">AH59+W59</f>
        <v>0.38280221774193551</v>
      </c>
      <c r="AJ59" s="16">
        <f t="shared" ref="AJ59" si="103">AI59+X59</f>
        <v>0.45219431451612907</v>
      </c>
      <c r="AK59" s="16">
        <f t="shared" ref="AK59" si="104">AJ59+Y59</f>
        <v>0.51232883064516133</v>
      </c>
      <c r="AL59" s="16">
        <f t="shared" ref="AL59" si="105">AK59+Z59</f>
        <v>0.56958954301075271</v>
      </c>
      <c r="AM59" s="16">
        <f t="shared" ref="AM59" si="106">AL59+AA59</f>
        <v>0.62663087365591397</v>
      </c>
      <c r="AN59" s="16">
        <f t="shared" ref="AN59" si="107">AM59+AB59</f>
        <v>0.69694434139784944</v>
      </c>
      <c r="AO59" s="16">
        <f t="shared" ref="AO59" si="108">AN59+AC59</f>
        <v>0.79013854838709674</v>
      </c>
      <c r="AP59" s="16">
        <f t="shared" ref="AP59" si="109">AO59+AD59</f>
        <v>0.88901454301075267</v>
      </c>
      <c r="AQ59" s="16">
        <f t="shared" ref="AQ59" si="110">AP59+AE59</f>
        <v>1</v>
      </c>
    </row>
    <row r="60" spans="1:43" x14ac:dyDescent="0.25">
      <c r="B60" s="3" t="s">
        <v>111</v>
      </c>
      <c r="C60" s="3" t="str">
        <f t="shared" ref="C60:C74" si="111">B60</f>
        <v>Coteaux du Blaiseron</v>
      </c>
      <c r="D60" s="3" cm="1">
        <f t="array" ref="D60">VLOOKUP($C60,BD!$C:$X,BD!G$1-1,FALSE)</f>
        <v>25.6</v>
      </c>
      <c r="E60" s="18">
        <f>F60/D60</f>
        <v>1852.407585546875</v>
      </c>
      <c r="F60" s="18">
        <f>SUM(G60:R60)</f>
        <v>47421.634190000004</v>
      </c>
      <c r="G60" s="38">
        <v>5595.8141900000001</v>
      </c>
      <c r="H60" s="38">
        <v>5001.4190199999994</v>
      </c>
      <c r="I60" s="38">
        <v>4536.4699000000001</v>
      </c>
      <c r="J60" s="38">
        <v>3770.3605699999998</v>
      </c>
      <c r="K60" s="38">
        <v>3123.1302700000001</v>
      </c>
      <c r="L60" s="38">
        <v>2466.65382</v>
      </c>
      <c r="M60" s="38">
        <v>2359.6626900000001</v>
      </c>
      <c r="N60" s="38">
        <v>2219.6496099999999</v>
      </c>
      <c r="O60" s="38">
        <v>3247.1588199999997</v>
      </c>
      <c r="P60" s="38">
        <v>4573.5635499999999</v>
      </c>
      <c r="Q60" s="38">
        <v>4781.1862199999996</v>
      </c>
      <c r="R60" s="38">
        <v>5746.5655299999999</v>
      </c>
      <c r="S60" s="19">
        <f t="shared" ref="S60:S76" si="112">SUM(T60:AE60)</f>
        <v>0.99999999999999989</v>
      </c>
      <c r="T60" s="16">
        <f t="shared" ref="T60:T76" si="113">G60/$F60</f>
        <v>0.11800129383099185</v>
      </c>
      <c r="U60" s="16">
        <f t="shared" ref="U60:U76" si="114">H60/$F60</f>
        <v>0.10546703219803144</v>
      </c>
      <c r="V60" s="16">
        <f t="shared" ref="V60:V76" si="115">I60/$F60</f>
        <v>9.5662454014640935E-2</v>
      </c>
      <c r="W60" s="16">
        <f t="shared" ref="W60:W76" si="116">J60/$F60</f>
        <v>7.9507183470178072E-2</v>
      </c>
      <c r="X60" s="16">
        <f t="shared" ref="X60:X76" si="117">K60/$F60</f>
        <v>6.585876516795762E-2</v>
      </c>
      <c r="Y60" s="16">
        <f t="shared" ref="Y60:Y76" si="118">L60/$F60</f>
        <v>5.2015369401169929E-2</v>
      </c>
      <c r="Z60" s="16">
        <f t="shared" ref="Z60:Z76" si="119">M60/$F60</f>
        <v>4.9759202319889513E-2</v>
      </c>
      <c r="AA60" s="16">
        <f t="shared" ref="AA60:AA76" si="120">N60/$F60</f>
        <v>4.6806687452117933E-2</v>
      </c>
      <c r="AB60" s="16">
        <f t="shared" ref="AB60:AB76" si="121">O60/$F60</f>
        <v>6.8474207510224136E-2</v>
      </c>
      <c r="AC60" s="16">
        <f t="shared" ref="AC60:AC76" si="122">P60/$F60</f>
        <v>9.6444663456251079E-2</v>
      </c>
      <c r="AD60" s="16">
        <f t="shared" ref="AD60:AD76" si="123">Q60/$F60</f>
        <v>0.10082289026235684</v>
      </c>
      <c r="AE60" s="16">
        <f t="shared" ref="AE60:AE76" si="124">R60/$F60</f>
        <v>0.12118025091619053</v>
      </c>
      <c r="AF60" s="16">
        <f t="shared" ref="AF60:AF76" si="125">T60</f>
        <v>0.11800129383099185</v>
      </c>
      <c r="AG60" s="16">
        <f t="shared" ref="AG60:AG76" si="126">AF60+U60</f>
        <v>0.22346832602902328</v>
      </c>
      <c r="AH60" s="16">
        <f t="shared" ref="AH60:AH76" si="127">AG60+V60</f>
        <v>0.31913078004366424</v>
      </c>
      <c r="AI60" s="16">
        <f t="shared" ref="AI60:AI76" si="128">AH60+W60</f>
        <v>0.39863796351384229</v>
      </c>
      <c r="AJ60" s="16">
        <f t="shared" ref="AJ60:AJ76" si="129">AI60+X60</f>
        <v>0.46449672868179992</v>
      </c>
      <c r="AK60" s="16">
        <f t="shared" ref="AK60:AK76" si="130">AJ60+Y60</f>
        <v>0.51651209808296983</v>
      </c>
      <c r="AL60" s="16">
        <f t="shared" ref="AL60:AL76" si="131">AK60+Z60</f>
        <v>0.56627130040285933</v>
      </c>
      <c r="AM60" s="16">
        <f t="shared" ref="AM60:AM76" si="132">AL60+AA60</f>
        <v>0.61307798785497725</v>
      </c>
      <c r="AN60" s="16">
        <f t="shared" ref="AN60:AN76" si="133">AM60+AB60</f>
        <v>0.6815521953652014</v>
      </c>
      <c r="AO60" s="16">
        <f t="shared" ref="AO60:AO76" si="134">AN60+AC60</f>
        <v>0.77799685882145253</v>
      </c>
      <c r="AP60" s="16">
        <f t="shared" ref="AP60:AP76" si="135">AO60+AD60</f>
        <v>0.87881974908380933</v>
      </c>
      <c r="AQ60" s="16">
        <f t="shared" ref="AQ60:AQ76" si="136">AP60+AE60</f>
        <v>0.99999999999999989</v>
      </c>
    </row>
    <row r="61" spans="1:43" x14ac:dyDescent="0.25">
      <c r="A61" s="3"/>
      <c r="B61" s="3" t="s">
        <v>71</v>
      </c>
      <c r="C61" s="3" t="str">
        <f t="shared" si="111"/>
        <v>Clérimois</v>
      </c>
      <c r="D61" s="3" cm="1">
        <f t="array" ref="D61">VLOOKUP($C61,BD!$C:$X,BD!G$1-1,FALSE)</f>
        <v>8</v>
      </c>
      <c r="E61" s="18">
        <f t="shared" ref="E61" si="137">F61/D61</f>
        <v>1904.999875</v>
      </c>
      <c r="F61" s="18">
        <f t="shared" ref="F61" si="138">SUM(G61:R61)</f>
        <v>15239.999</v>
      </c>
      <c r="G61" s="38">
        <v>1755.5</v>
      </c>
      <c r="H61" s="38">
        <v>1610.1990000000001</v>
      </c>
      <c r="I61" s="38">
        <v>1442.645</v>
      </c>
      <c r="J61" s="38">
        <v>1240.183</v>
      </c>
      <c r="K61" s="38">
        <v>1059.1030000000001</v>
      </c>
      <c r="L61" s="38">
        <v>846.16899999999998</v>
      </c>
      <c r="M61" s="38">
        <v>822.60699999999997</v>
      </c>
      <c r="N61" s="38">
        <v>758.90099999999995</v>
      </c>
      <c r="O61" s="38">
        <v>1040.7760000000001</v>
      </c>
      <c r="P61" s="38">
        <v>1381.1210000000001</v>
      </c>
      <c r="Q61" s="38">
        <v>1491.951</v>
      </c>
      <c r="R61" s="38">
        <v>1790.8440000000001</v>
      </c>
      <c r="S61" s="19">
        <f t="shared" si="112"/>
        <v>1</v>
      </c>
      <c r="T61" s="16">
        <f t="shared" si="113"/>
        <v>0.11519029627232916</v>
      </c>
      <c r="U61" s="16">
        <f t="shared" si="114"/>
        <v>0.1056561092950203</v>
      </c>
      <c r="V61" s="16">
        <f t="shared" si="115"/>
        <v>9.4661751618225168E-2</v>
      </c>
      <c r="W61" s="16">
        <f t="shared" si="116"/>
        <v>8.1376842610029046E-2</v>
      </c>
      <c r="X61" s="16">
        <f t="shared" si="117"/>
        <v>6.9494952066597906E-2</v>
      </c>
      <c r="Y61" s="16">
        <f t="shared" si="118"/>
        <v>5.5522903905702359E-2</v>
      </c>
      <c r="Z61" s="16">
        <f t="shared" si="119"/>
        <v>5.3976840812128661E-2</v>
      </c>
      <c r="AA61" s="16">
        <f t="shared" si="120"/>
        <v>4.9796656810804252E-2</v>
      </c>
      <c r="AB61" s="16">
        <f t="shared" si="121"/>
        <v>6.8292392932571722E-2</v>
      </c>
      <c r="AC61" s="16">
        <f t="shared" si="122"/>
        <v>9.0624743479313888E-2</v>
      </c>
      <c r="AD61" s="16">
        <f t="shared" si="123"/>
        <v>9.7897053667785672E-2</v>
      </c>
      <c r="AE61" s="16">
        <f t="shared" si="124"/>
        <v>0.11750945652949191</v>
      </c>
      <c r="AF61" s="16">
        <f t="shared" si="125"/>
        <v>0.11519029627232916</v>
      </c>
      <c r="AG61" s="16">
        <f t="shared" si="126"/>
        <v>0.22084640556734947</v>
      </c>
      <c r="AH61" s="16">
        <f t="shared" si="127"/>
        <v>0.31550815718557462</v>
      </c>
      <c r="AI61" s="16">
        <f t="shared" si="128"/>
        <v>0.39688499979560365</v>
      </c>
      <c r="AJ61" s="16">
        <f t="shared" si="129"/>
        <v>0.46637995186220155</v>
      </c>
      <c r="AK61" s="16">
        <f t="shared" si="130"/>
        <v>0.52190285576790396</v>
      </c>
      <c r="AL61" s="16">
        <f t="shared" si="131"/>
        <v>0.57587969658003257</v>
      </c>
      <c r="AM61" s="16">
        <f t="shared" si="132"/>
        <v>0.62567635339083683</v>
      </c>
      <c r="AN61" s="16">
        <f t="shared" si="133"/>
        <v>0.69396874632340855</v>
      </c>
      <c r="AO61" s="16">
        <f t="shared" si="134"/>
        <v>0.78459348980272248</v>
      </c>
      <c r="AP61" s="16">
        <f t="shared" si="135"/>
        <v>0.88249054347050815</v>
      </c>
      <c r="AQ61" s="16">
        <f t="shared" si="136"/>
        <v>1</v>
      </c>
    </row>
    <row r="62" spans="1:43" x14ac:dyDescent="0.25">
      <c r="A62" s="3"/>
      <c r="B62" s="3" t="s">
        <v>39</v>
      </c>
      <c r="C62" s="3" t="str">
        <f t="shared" si="111"/>
        <v>Les Moulins de Boulay</v>
      </c>
      <c r="D62" s="3" cm="1">
        <f t="array" ref="D62">VLOOKUP($C62,BD!$C:$X,BD!G$1-1,FALSE)</f>
        <v>10</v>
      </c>
      <c r="E62" s="18">
        <f t="shared" ref="E62:E75" si="139">F62/D62</f>
        <v>1697.9999</v>
      </c>
      <c r="F62" s="18">
        <f t="shared" ref="F62:F75" si="140">SUM(G62:R62)</f>
        <v>16979.999</v>
      </c>
      <c r="G62" s="38">
        <v>1950.415</v>
      </c>
      <c r="H62" s="38">
        <v>1780.3440000000001</v>
      </c>
      <c r="I62" s="38">
        <v>1644.4639999999999</v>
      </c>
      <c r="J62" s="38">
        <v>1306.54</v>
      </c>
      <c r="K62" s="38">
        <v>1146.2380000000001</v>
      </c>
      <c r="L62" s="38">
        <v>929.98400000000004</v>
      </c>
      <c r="M62" s="38">
        <v>952.18700000000001</v>
      </c>
      <c r="N62" s="38">
        <v>894.904</v>
      </c>
      <c r="O62" s="38">
        <v>1194.1949999999999</v>
      </c>
      <c r="P62" s="38">
        <v>1588.9570000000001</v>
      </c>
      <c r="Q62" s="38">
        <v>1611.604</v>
      </c>
      <c r="R62" s="38">
        <v>1980.1669999999999</v>
      </c>
      <c r="S62" s="19">
        <f t="shared" si="112"/>
        <v>1</v>
      </c>
      <c r="T62" s="16">
        <f t="shared" si="113"/>
        <v>0.11486543668229898</v>
      </c>
      <c r="U62" s="16">
        <f t="shared" si="114"/>
        <v>0.10484947613954512</v>
      </c>
      <c r="V62" s="16">
        <f t="shared" si="115"/>
        <v>9.6847119955660768E-2</v>
      </c>
      <c r="W62" s="16">
        <f t="shared" si="116"/>
        <v>7.6945823141685701E-2</v>
      </c>
      <c r="X62" s="16">
        <f t="shared" si="117"/>
        <v>6.7505186543297208E-2</v>
      </c>
      <c r="Y62" s="16">
        <f t="shared" si="118"/>
        <v>5.4769378961683102E-2</v>
      </c>
      <c r="Z62" s="16">
        <f t="shared" si="119"/>
        <v>5.6076976211836056E-2</v>
      </c>
      <c r="AA62" s="16">
        <f t="shared" si="120"/>
        <v>5.2703418887127144E-2</v>
      </c>
      <c r="AB62" s="16">
        <f t="shared" si="121"/>
        <v>7.0329509442256147E-2</v>
      </c>
      <c r="AC62" s="16">
        <f t="shared" si="122"/>
        <v>9.3578156276687655E-2</v>
      </c>
      <c r="AD62" s="16">
        <f t="shared" si="123"/>
        <v>9.4911901938274562E-2</v>
      </c>
      <c r="AE62" s="16">
        <f t="shared" si="124"/>
        <v>0.11661761581964757</v>
      </c>
      <c r="AF62" s="16">
        <f t="shared" si="125"/>
        <v>0.11486543668229898</v>
      </c>
      <c r="AG62" s="16">
        <f t="shared" si="126"/>
        <v>0.2197149128218441</v>
      </c>
      <c r="AH62" s="16">
        <f t="shared" si="127"/>
        <v>0.31656203277750489</v>
      </c>
      <c r="AI62" s="16">
        <f t="shared" si="128"/>
        <v>0.39350785591919057</v>
      </c>
      <c r="AJ62" s="16">
        <f t="shared" si="129"/>
        <v>0.46101304246248775</v>
      </c>
      <c r="AK62" s="16">
        <f t="shared" si="130"/>
        <v>0.51578242142417086</v>
      </c>
      <c r="AL62" s="16">
        <f t="shared" si="131"/>
        <v>0.57185939763600691</v>
      </c>
      <c r="AM62" s="16">
        <f t="shared" si="132"/>
        <v>0.62456281652313406</v>
      </c>
      <c r="AN62" s="16">
        <f t="shared" si="133"/>
        <v>0.69489232596539019</v>
      </c>
      <c r="AO62" s="16">
        <f t="shared" si="134"/>
        <v>0.78847048224207783</v>
      </c>
      <c r="AP62" s="16">
        <f t="shared" si="135"/>
        <v>0.88338238418035242</v>
      </c>
      <c r="AQ62" s="16">
        <f t="shared" si="136"/>
        <v>1</v>
      </c>
    </row>
    <row r="63" spans="1:43" x14ac:dyDescent="0.25">
      <c r="A63" s="3"/>
      <c r="B63" s="3" t="s">
        <v>38</v>
      </c>
      <c r="C63" s="3" t="str">
        <f t="shared" si="111"/>
        <v>Fond de la Plaine</v>
      </c>
      <c r="D63" s="3" cm="1">
        <f t="array" ref="D63">VLOOKUP($C63,BD!$C:$X,BD!G$1-1,FALSE)</f>
        <v>4</v>
      </c>
      <c r="E63" s="18">
        <f t="shared" si="139"/>
        <v>2257.5</v>
      </c>
      <c r="F63" s="18">
        <f t="shared" si="140"/>
        <v>9030</v>
      </c>
      <c r="G63" s="38">
        <v>911.76599999999996</v>
      </c>
      <c r="H63" s="38">
        <v>939.21</v>
      </c>
      <c r="I63" s="38">
        <v>830.6</v>
      </c>
      <c r="J63" s="38">
        <v>813.86099999999999</v>
      </c>
      <c r="K63" s="38">
        <v>706.22400000000005</v>
      </c>
      <c r="L63" s="38">
        <v>648.80399999999997</v>
      </c>
      <c r="M63" s="38">
        <v>664.37599999999998</v>
      </c>
      <c r="N63" s="38">
        <v>579.70699999999999</v>
      </c>
      <c r="O63" s="38">
        <v>586.32399999999996</v>
      </c>
      <c r="P63" s="38">
        <v>657.56299999999999</v>
      </c>
      <c r="Q63" s="38">
        <v>856.48800000000006</v>
      </c>
      <c r="R63" s="38">
        <v>835.077</v>
      </c>
      <c r="S63" s="19">
        <f t="shared" si="112"/>
        <v>1</v>
      </c>
      <c r="T63" s="16">
        <f t="shared" si="113"/>
        <v>0.10097076411960132</v>
      </c>
      <c r="U63" s="16">
        <f t="shared" si="114"/>
        <v>0.10400996677740865</v>
      </c>
      <c r="V63" s="16">
        <f t="shared" si="115"/>
        <v>9.1982281284606865E-2</v>
      </c>
      <c r="W63" s="16">
        <f t="shared" si="116"/>
        <v>9.0128571428571433E-2</v>
      </c>
      <c r="X63" s="16">
        <f t="shared" si="117"/>
        <v>7.8208637873754164E-2</v>
      </c>
      <c r="Y63" s="16">
        <f t="shared" si="118"/>
        <v>7.1849833887043191E-2</v>
      </c>
      <c r="Z63" s="16">
        <f t="shared" si="119"/>
        <v>7.3574307862679947E-2</v>
      </c>
      <c r="AA63" s="16">
        <f t="shared" si="120"/>
        <v>6.419789590254707E-2</v>
      </c>
      <c r="AB63" s="16">
        <f t="shared" si="121"/>
        <v>6.4930675526024356E-2</v>
      </c>
      <c r="AC63" s="16">
        <f t="shared" si="122"/>
        <v>7.2819822812846061E-2</v>
      </c>
      <c r="AD63" s="16">
        <f t="shared" si="123"/>
        <v>9.4849169435215958E-2</v>
      </c>
      <c r="AE63" s="16">
        <f t="shared" si="124"/>
        <v>9.2478073089700991E-2</v>
      </c>
      <c r="AF63" s="16">
        <f t="shared" si="125"/>
        <v>0.10097076411960132</v>
      </c>
      <c r="AG63" s="16">
        <f t="shared" si="126"/>
        <v>0.20498073089700997</v>
      </c>
      <c r="AH63" s="16">
        <f t="shared" si="127"/>
        <v>0.2969630121816168</v>
      </c>
      <c r="AI63" s="16">
        <f t="shared" si="128"/>
        <v>0.38709158361018825</v>
      </c>
      <c r="AJ63" s="16">
        <f t="shared" si="129"/>
        <v>0.4653002214839424</v>
      </c>
      <c r="AK63" s="16">
        <f t="shared" si="130"/>
        <v>0.53715005537098559</v>
      </c>
      <c r="AL63" s="16">
        <f t="shared" si="131"/>
        <v>0.61072436323366552</v>
      </c>
      <c r="AM63" s="16">
        <f t="shared" si="132"/>
        <v>0.67492225913621262</v>
      </c>
      <c r="AN63" s="16">
        <f t="shared" si="133"/>
        <v>0.73985293466223701</v>
      </c>
      <c r="AO63" s="16">
        <f t="shared" si="134"/>
        <v>0.81267275747508305</v>
      </c>
      <c r="AP63" s="16">
        <f t="shared" si="135"/>
        <v>0.90752192691029898</v>
      </c>
      <c r="AQ63" s="16">
        <f t="shared" si="136"/>
        <v>1</v>
      </c>
    </row>
    <row r="64" spans="1:43" x14ac:dyDescent="0.25">
      <c r="A64" s="3"/>
      <c r="B64" s="3" t="s">
        <v>37</v>
      </c>
      <c r="C64" s="3" t="str">
        <f t="shared" si="111"/>
        <v>Maurienne / Gourgançon</v>
      </c>
      <c r="D64" s="3" cm="1">
        <f t="array" ref="D64">VLOOKUP($C64,BD!$C:$X,BD!G$1-1,FALSE)</f>
        <v>12</v>
      </c>
      <c r="E64" s="18">
        <f t="shared" si="139"/>
        <v>1800.0000833333334</v>
      </c>
      <c r="F64" s="18">
        <f t="shared" si="140"/>
        <v>21600.001</v>
      </c>
      <c r="G64" s="38">
        <v>2361.9679999999998</v>
      </c>
      <c r="H64" s="38">
        <v>2205.3629999999998</v>
      </c>
      <c r="I64" s="38">
        <v>2040.8440000000001</v>
      </c>
      <c r="J64" s="38">
        <v>1777.951</v>
      </c>
      <c r="K64" s="38">
        <v>1548.415</v>
      </c>
      <c r="L64" s="38">
        <v>1317.748</v>
      </c>
      <c r="M64" s="38">
        <v>1253.296</v>
      </c>
      <c r="N64" s="38">
        <v>1206.3720000000001</v>
      </c>
      <c r="O64" s="38">
        <v>1533.15</v>
      </c>
      <c r="P64" s="38">
        <v>1936.817</v>
      </c>
      <c r="Q64" s="38">
        <v>2030.6669999999999</v>
      </c>
      <c r="R64" s="38">
        <v>2387.41</v>
      </c>
      <c r="S64" s="19">
        <f t="shared" si="112"/>
        <v>1</v>
      </c>
      <c r="T64" s="16">
        <f t="shared" si="113"/>
        <v>0.10935036530785346</v>
      </c>
      <c r="U64" s="16">
        <f t="shared" si="114"/>
        <v>0.10210013416203081</v>
      </c>
      <c r="V64" s="16">
        <f t="shared" si="115"/>
        <v>9.4483514144281758E-2</v>
      </c>
      <c r="W64" s="16">
        <f t="shared" si="116"/>
        <v>8.2312542485530438E-2</v>
      </c>
      <c r="X64" s="16">
        <f t="shared" si="117"/>
        <v>7.1685876310839058E-2</v>
      </c>
      <c r="Y64" s="16">
        <f t="shared" si="118"/>
        <v>6.1006849027460695E-2</v>
      </c>
      <c r="Z64" s="16">
        <f t="shared" si="119"/>
        <v>5.8022960276714802E-2</v>
      </c>
      <c r="AA64" s="16">
        <f t="shared" si="120"/>
        <v>5.5850552969881812E-2</v>
      </c>
      <c r="AB64" s="16">
        <f t="shared" si="121"/>
        <v>7.097916338059429E-2</v>
      </c>
      <c r="AC64" s="16">
        <f t="shared" si="122"/>
        <v>8.9667449552432887E-2</v>
      </c>
      <c r="AD64" s="16">
        <f t="shared" si="123"/>
        <v>9.4012356758687188E-2</v>
      </c>
      <c r="AE64" s="16">
        <f t="shared" si="124"/>
        <v>0.11052823562369279</v>
      </c>
      <c r="AF64" s="16">
        <f t="shared" si="125"/>
        <v>0.10935036530785346</v>
      </c>
      <c r="AG64" s="16">
        <f t="shared" si="126"/>
        <v>0.21145049946988426</v>
      </c>
      <c r="AH64" s="16">
        <f t="shared" si="127"/>
        <v>0.305934013614166</v>
      </c>
      <c r="AI64" s="16">
        <f t="shared" si="128"/>
        <v>0.38824655609969644</v>
      </c>
      <c r="AJ64" s="16">
        <f t="shared" si="129"/>
        <v>0.4599324324105355</v>
      </c>
      <c r="AK64" s="16">
        <f t="shared" si="130"/>
        <v>0.52093928143799617</v>
      </c>
      <c r="AL64" s="16">
        <f t="shared" si="131"/>
        <v>0.578962241714711</v>
      </c>
      <c r="AM64" s="16">
        <f t="shared" si="132"/>
        <v>0.63481279468459284</v>
      </c>
      <c r="AN64" s="16">
        <f t="shared" si="133"/>
        <v>0.70579195806518713</v>
      </c>
      <c r="AO64" s="16">
        <f t="shared" si="134"/>
        <v>0.79545940761762002</v>
      </c>
      <c r="AP64" s="16">
        <f t="shared" si="135"/>
        <v>0.88947176437630726</v>
      </c>
      <c r="AQ64" s="16">
        <f t="shared" si="136"/>
        <v>1</v>
      </c>
    </row>
    <row r="65" spans="1:43" x14ac:dyDescent="0.25">
      <c r="A65" s="3"/>
      <c r="B65" s="3" t="s">
        <v>45</v>
      </c>
      <c r="C65" s="3" t="str">
        <f t="shared" si="111"/>
        <v>Bassigny</v>
      </c>
      <c r="D65" s="3" cm="1">
        <f t="array" ref="D65">VLOOKUP($C65,BD!$C:$X,BD!G$1-1,FALSE)</f>
        <v>12</v>
      </c>
      <c r="E65" s="18">
        <f t="shared" si="139"/>
        <v>1710.0000016666665</v>
      </c>
      <c r="F65" s="18">
        <f t="shared" si="140"/>
        <v>20520.000019999999</v>
      </c>
      <c r="G65" s="38">
        <v>2254.89275</v>
      </c>
      <c r="H65" s="38">
        <v>2124.35673</v>
      </c>
      <c r="I65" s="38">
        <v>1993.2813200000001</v>
      </c>
      <c r="J65" s="38">
        <v>1739.22156</v>
      </c>
      <c r="K65" s="38">
        <v>1430.6481299999998</v>
      </c>
      <c r="L65" s="38">
        <v>1202.5403200000001</v>
      </c>
      <c r="M65" s="38">
        <v>1133.25523</v>
      </c>
      <c r="N65" s="38">
        <v>1046.3824</v>
      </c>
      <c r="O65" s="38">
        <v>1449.3018</v>
      </c>
      <c r="P65" s="38">
        <v>1879.40228</v>
      </c>
      <c r="Q65" s="38">
        <v>1948.6873600000001</v>
      </c>
      <c r="R65" s="38">
        <v>2318.0301400000003</v>
      </c>
      <c r="S65" s="19">
        <f t="shared" si="112"/>
        <v>1</v>
      </c>
      <c r="T65" s="16">
        <f t="shared" si="113"/>
        <v>0.10988756080907645</v>
      </c>
      <c r="U65" s="16">
        <f t="shared" si="114"/>
        <v>0.10352615633184585</v>
      </c>
      <c r="V65" s="16">
        <f t="shared" si="115"/>
        <v>9.7138465792262707E-2</v>
      </c>
      <c r="W65" s="16">
        <f t="shared" si="116"/>
        <v>8.4757385882302749E-2</v>
      </c>
      <c r="X65" s="16">
        <f t="shared" si="117"/>
        <v>6.9719694376491517E-2</v>
      </c>
      <c r="Y65" s="16">
        <f t="shared" si="118"/>
        <v>5.8603329377579609E-2</v>
      </c>
      <c r="Z65" s="16">
        <f t="shared" si="119"/>
        <v>5.5226863006601498E-2</v>
      </c>
      <c r="AA65" s="16">
        <f t="shared" si="120"/>
        <v>5.0993294297277489E-2</v>
      </c>
      <c r="AB65" s="16">
        <f t="shared" si="121"/>
        <v>7.0628742621219542E-2</v>
      </c>
      <c r="AC65" s="16">
        <f t="shared" si="122"/>
        <v>9.1588804978958285E-2</v>
      </c>
      <c r="AD65" s="16">
        <f t="shared" si="123"/>
        <v>9.4965270862606962E-2</v>
      </c>
      <c r="AE65" s="16">
        <f t="shared" si="124"/>
        <v>0.11296443166377737</v>
      </c>
      <c r="AF65" s="16">
        <f t="shared" si="125"/>
        <v>0.10988756080907645</v>
      </c>
      <c r="AG65" s="16">
        <f t="shared" si="126"/>
        <v>0.2134137171409223</v>
      </c>
      <c r="AH65" s="16">
        <f t="shared" si="127"/>
        <v>0.31055218293318498</v>
      </c>
      <c r="AI65" s="16">
        <f t="shared" si="128"/>
        <v>0.39530956881548773</v>
      </c>
      <c r="AJ65" s="16">
        <f t="shared" si="129"/>
        <v>0.46502926319197924</v>
      </c>
      <c r="AK65" s="16">
        <f t="shared" si="130"/>
        <v>0.52363259256955885</v>
      </c>
      <c r="AL65" s="16">
        <f t="shared" si="131"/>
        <v>0.57885945557616036</v>
      </c>
      <c r="AM65" s="16">
        <f t="shared" si="132"/>
        <v>0.62985274987343787</v>
      </c>
      <c r="AN65" s="16">
        <f t="shared" si="133"/>
        <v>0.70048149249465741</v>
      </c>
      <c r="AO65" s="16">
        <f t="shared" si="134"/>
        <v>0.79207029747361568</v>
      </c>
      <c r="AP65" s="16">
        <f t="shared" si="135"/>
        <v>0.88703556833622266</v>
      </c>
      <c r="AQ65" s="16">
        <f t="shared" si="136"/>
        <v>1</v>
      </c>
    </row>
    <row r="66" spans="1:43" x14ac:dyDescent="0.25">
      <c r="A66" s="3"/>
      <c r="B66" s="3" t="s">
        <v>49</v>
      </c>
      <c r="C66" s="3" t="str">
        <f t="shared" si="111"/>
        <v>Plateau de Langres</v>
      </c>
      <c r="D66" s="3" cm="1">
        <f t="array" ref="D66">VLOOKUP($C66,BD!$C:$X,BD!G$1-1,FALSE)</f>
        <v>12</v>
      </c>
      <c r="E66" s="18">
        <f t="shared" si="139"/>
        <v>1551.6666666666667</v>
      </c>
      <c r="F66" s="18">
        <f t="shared" si="140"/>
        <v>18620</v>
      </c>
      <c r="G66" s="38">
        <v>1980.421</v>
      </c>
      <c r="H66" s="38">
        <v>1900.242</v>
      </c>
      <c r="I66" s="38">
        <v>1798.682</v>
      </c>
      <c r="J66" s="38">
        <v>1612.57</v>
      </c>
      <c r="K66" s="38">
        <v>1332.1869999999999</v>
      </c>
      <c r="L66" s="38">
        <v>1134.413</v>
      </c>
      <c r="M66" s="38">
        <v>1064.924</v>
      </c>
      <c r="N66" s="38">
        <v>985.23199999999997</v>
      </c>
      <c r="O66" s="38">
        <v>1337.047</v>
      </c>
      <c r="P66" s="38">
        <v>1674.2840000000001</v>
      </c>
      <c r="Q66" s="38">
        <v>1747.173</v>
      </c>
      <c r="R66" s="38">
        <v>2052.8249999999998</v>
      </c>
      <c r="S66" s="19">
        <f t="shared" si="112"/>
        <v>1</v>
      </c>
      <c r="T66" s="16">
        <f t="shared" si="113"/>
        <v>0.10635988184747583</v>
      </c>
      <c r="U66" s="16">
        <f t="shared" si="114"/>
        <v>0.10205381310418904</v>
      </c>
      <c r="V66" s="16">
        <f t="shared" si="115"/>
        <v>9.6599462943071965E-2</v>
      </c>
      <c r="W66" s="16">
        <f t="shared" si="116"/>
        <v>8.660418904403866E-2</v>
      </c>
      <c r="X66" s="16">
        <f t="shared" si="117"/>
        <v>7.1546025778732536E-2</v>
      </c>
      <c r="Y66" s="16">
        <f t="shared" si="118"/>
        <v>6.0924436090225562E-2</v>
      </c>
      <c r="Z66" s="16">
        <f t="shared" si="119"/>
        <v>5.7192481203007517E-2</v>
      </c>
      <c r="AA66" s="16">
        <f t="shared" si="120"/>
        <v>5.2912567132115999E-2</v>
      </c>
      <c r="AB66" s="16">
        <f t="shared" si="121"/>
        <v>7.1807035445757256E-2</v>
      </c>
      <c r="AC66" s="16">
        <f t="shared" si="122"/>
        <v>8.9918582169709993E-2</v>
      </c>
      <c r="AD66" s="16">
        <f t="shared" si="123"/>
        <v>9.3833136412459717E-2</v>
      </c>
      <c r="AE66" s="16">
        <f t="shared" si="124"/>
        <v>0.11024838882921589</v>
      </c>
      <c r="AF66" s="16">
        <f t="shared" si="125"/>
        <v>0.10635988184747583</v>
      </c>
      <c r="AG66" s="16">
        <f t="shared" si="126"/>
        <v>0.20841369495166487</v>
      </c>
      <c r="AH66" s="16">
        <f t="shared" si="127"/>
        <v>0.30501315789473682</v>
      </c>
      <c r="AI66" s="16">
        <f t="shared" si="128"/>
        <v>0.39161734693877548</v>
      </c>
      <c r="AJ66" s="16">
        <f t="shared" si="129"/>
        <v>0.46316337271750802</v>
      </c>
      <c r="AK66" s="16">
        <f t="shared" si="130"/>
        <v>0.52408780880773354</v>
      </c>
      <c r="AL66" s="16">
        <f t="shared" si="131"/>
        <v>0.581280290010741</v>
      </c>
      <c r="AM66" s="16">
        <f t="shared" si="132"/>
        <v>0.634192857142857</v>
      </c>
      <c r="AN66" s="16">
        <f t="shared" si="133"/>
        <v>0.70599989258861429</v>
      </c>
      <c r="AO66" s="16">
        <f t="shared" si="134"/>
        <v>0.79591847475832433</v>
      </c>
      <c r="AP66" s="16">
        <f t="shared" si="135"/>
        <v>0.88975161117078405</v>
      </c>
      <c r="AQ66" s="16">
        <f t="shared" si="136"/>
        <v>1</v>
      </c>
    </row>
    <row r="67" spans="1:43" x14ac:dyDescent="0.25">
      <c r="A67" s="3"/>
      <c r="B67" s="3" t="s">
        <v>46</v>
      </c>
      <c r="C67" s="3" t="str">
        <f t="shared" si="111"/>
        <v>Vaux des Roques</v>
      </c>
      <c r="D67" s="3" cm="1">
        <f t="array" ref="D67">VLOOKUP($C67,BD!$C:$X,BD!G$1-1,FALSE)</f>
        <v>8</v>
      </c>
      <c r="E67" s="18">
        <f t="shared" si="139"/>
        <v>2164.999875</v>
      </c>
      <c r="F67" s="18">
        <f t="shared" si="140"/>
        <v>17319.999</v>
      </c>
      <c r="G67" s="38">
        <v>2092.3389999999999</v>
      </c>
      <c r="H67" s="38">
        <v>1892.578</v>
      </c>
      <c r="I67" s="38">
        <v>1567.251</v>
      </c>
      <c r="J67" s="38">
        <v>1297.2439999999999</v>
      </c>
      <c r="K67" s="38">
        <v>1176.509</v>
      </c>
      <c r="L67" s="38">
        <v>909.13499999999999</v>
      </c>
      <c r="M67" s="38">
        <v>894.64700000000005</v>
      </c>
      <c r="N67" s="38">
        <v>892.01300000000003</v>
      </c>
      <c r="O67" s="38">
        <v>1155.874</v>
      </c>
      <c r="P67" s="38">
        <v>1625.204</v>
      </c>
      <c r="Q67" s="38">
        <v>1812.2339999999999</v>
      </c>
      <c r="R67" s="38">
        <v>2004.971</v>
      </c>
      <c r="S67" s="19">
        <f t="shared" si="112"/>
        <v>0.99999999999999989</v>
      </c>
      <c r="T67" s="16">
        <f t="shared" si="113"/>
        <v>0.12080479912267893</v>
      </c>
      <c r="U67" s="16">
        <f t="shared" si="114"/>
        <v>0.10927125342212779</v>
      </c>
      <c r="V67" s="16">
        <f t="shared" si="115"/>
        <v>9.0487938249880967E-2</v>
      </c>
      <c r="W67" s="16">
        <f t="shared" si="116"/>
        <v>7.4898618643107304E-2</v>
      </c>
      <c r="X67" s="16">
        <f t="shared" si="117"/>
        <v>6.7927775284513589E-2</v>
      </c>
      <c r="Y67" s="16">
        <f t="shared" si="118"/>
        <v>5.2490476471736519E-2</v>
      </c>
      <c r="Z67" s="16">
        <f t="shared" si="119"/>
        <v>5.1653986816050053E-2</v>
      </c>
      <c r="AA67" s="16">
        <f t="shared" si="120"/>
        <v>5.1501908285329578E-2</v>
      </c>
      <c r="AB67" s="16">
        <f t="shared" si="121"/>
        <v>6.6736377987088799E-2</v>
      </c>
      <c r="AC67" s="16">
        <f t="shared" si="122"/>
        <v>9.383395460935072E-2</v>
      </c>
      <c r="AD67" s="16">
        <f t="shared" si="123"/>
        <v>0.10463245407808626</v>
      </c>
      <c r="AE67" s="16">
        <f t="shared" si="124"/>
        <v>0.11576045703004949</v>
      </c>
      <c r="AF67" s="16">
        <f t="shared" si="125"/>
        <v>0.12080479912267893</v>
      </c>
      <c r="AG67" s="16">
        <f t="shared" si="126"/>
        <v>0.23007605254480673</v>
      </c>
      <c r="AH67" s="16">
        <f t="shared" si="127"/>
        <v>0.32056399079468767</v>
      </c>
      <c r="AI67" s="16">
        <f t="shared" si="128"/>
        <v>0.39546260943779499</v>
      </c>
      <c r="AJ67" s="16">
        <f t="shared" si="129"/>
        <v>0.46339038472230859</v>
      </c>
      <c r="AK67" s="16">
        <f t="shared" si="130"/>
        <v>0.51588086119404508</v>
      </c>
      <c r="AL67" s="16">
        <f t="shared" si="131"/>
        <v>0.56753484801009513</v>
      </c>
      <c r="AM67" s="16">
        <f t="shared" si="132"/>
        <v>0.61903675629542465</v>
      </c>
      <c r="AN67" s="16">
        <f t="shared" si="133"/>
        <v>0.68577313428251341</v>
      </c>
      <c r="AO67" s="16">
        <f t="shared" si="134"/>
        <v>0.77960708889186414</v>
      </c>
      <c r="AP67" s="16">
        <f t="shared" si="135"/>
        <v>0.88423954296995044</v>
      </c>
      <c r="AQ67" s="16">
        <f t="shared" si="136"/>
        <v>0.99999999999999989</v>
      </c>
    </row>
    <row r="68" spans="1:43" x14ac:dyDescent="0.25">
      <c r="A68" s="3"/>
      <c r="B68" s="3" t="s">
        <v>34</v>
      </c>
      <c r="C68" s="3" t="str">
        <f t="shared" si="111"/>
        <v>Evits et Josaphats</v>
      </c>
      <c r="D68" s="3" cm="1">
        <f t="array" ref="D68">VLOOKUP($C68,BD!$C:$X,BD!G$1-1,FALSE)</f>
        <v>12</v>
      </c>
      <c r="E68" s="18">
        <f t="shared" si="139"/>
        <v>1958.333333333333</v>
      </c>
      <c r="F68" s="18">
        <f t="shared" si="140"/>
        <v>23499.999999999996</v>
      </c>
      <c r="G68" s="38">
        <v>2656.9569999999999</v>
      </c>
      <c r="H68" s="38">
        <v>2486.817</v>
      </c>
      <c r="I68" s="38">
        <v>2179.9349999999999</v>
      </c>
      <c r="J68" s="38">
        <v>1886.9169999999999</v>
      </c>
      <c r="K68" s="38">
        <v>1703.5440000000001</v>
      </c>
      <c r="L68" s="38">
        <v>1381.538</v>
      </c>
      <c r="M68" s="38">
        <v>1337.4280000000001</v>
      </c>
      <c r="N68" s="38">
        <v>1247.317</v>
      </c>
      <c r="O68" s="38">
        <v>1602.72</v>
      </c>
      <c r="P68" s="38">
        <v>2091.0839999999998</v>
      </c>
      <c r="Q68" s="38">
        <v>2248.6210000000001</v>
      </c>
      <c r="R68" s="38">
        <v>2677.1219999999998</v>
      </c>
      <c r="S68" s="19">
        <f t="shared" si="112"/>
        <v>1.0000000000000002</v>
      </c>
      <c r="T68" s="16">
        <f t="shared" si="113"/>
        <v>0.11306200000000001</v>
      </c>
      <c r="U68" s="16">
        <f t="shared" si="114"/>
        <v>0.10582200000000001</v>
      </c>
      <c r="V68" s="16">
        <f t="shared" si="115"/>
        <v>9.2763191489361713E-2</v>
      </c>
      <c r="W68" s="16">
        <f t="shared" si="116"/>
        <v>8.0294340425531921E-2</v>
      </c>
      <c r="X68" s="16">
        <f t="shared" si="117"/>
        <v>7.2491234042553213E-2</v>
      </c>
      <c r="Y68" s="16">
        <f t="shared" si="118"/>
        <v>5.8788851063829799E-2</v>
      </c>
      <c r="Z68" s="16">
        <f t="shared" si="119"/>
        <v>5.6911829787234053E-2</v>
      </c>
      <c r="AA68" s="16">
        <f t="shared" si="120"/>
        <v>5.3077319148936181E-2</v>
      </c>
      <c r="AB68" s="16">
        <f t="shared" si="121"/>
        <v>6.8200851063829795E-2</v>
      </c>
      <c r="AC68" s="16">
        <f t="shared" si="122"/>
        <v>8.8982297872340438E-2</v>
      </c>
      <c r="AD68" s="16">
        <f t="shared" si="123"/>
        <v>9.5686000000000021E-2</v>
      </c>
      <c r="AE68" s="16">
        <f t="shared" si="124"/>
        <v>0.11392008510638299</v>
      </c>
      <c r="AF68" s="16">
        <f t="shared" si="125"/>
        <v>0.11306200000000001</v>
      </c>
      <c r="AG68" s="16">
        <f t="shared" si="126"/>
        <v>0.21888400000000002</v>
      </c>
      <c r="AH68" s="16">
        <f t="shared" si="127"/>
        <v>0.31164719148936171</v>
      </c>
      <c r="AI68" s="16">
        <f t="shared" si="128"/>
        <v>0.39194153191489361</v>
      </c>
      <c r="AJ68" s="16">
        <f t="shared" si="129"/>
        <v>0.46443276595744681</v>
      </c>
      <c r="AK68" s="16">
        <f t="shared" si="130"/>
        <v>0.52322161702127656</v>
      </c>
      <c r="AL68" s="16">
        <f t="shared" si="131"/>
        <v>0.58013344680851064</v>
      </c>
      <c r="AM68" s="16">
        <f t="shared" si="132"/>
        <v>0.63321076595744685</v>
      </c>
      <c r="AN68" s="16">
        <f t="shared" si="133"/>
        <v>0.70141161702127663</v>
      </c>
      <c r="AO68" s="16">
        <f t="shared" si="134"/>
        <v>0.7903939148936171</v>
      </c>
      <c r="AP68" s="16">
        <f t="shared" si="135"/>
        <v>0.88607991489361715</v>
      </c>
      <c r="AQ68" s="16">
        <f t="shared" si="136"/>
        <v>1.0000000000000002</v>
      </c>
    </row>
    <row r="69" spans="1:43" x14ac:dyDescent="0.25">
      <c r="A69" s="3"/>
      <c r="B69" s="3" t="s">
        <v>35</v>
      </c>
      <c r="C69" s="3" t="str">
        <f t="shared" si="111"/>
        <v>Remise Reclainville</v>
      </c>
      <c r="D69" s="3" cm="1">
        <f t="array" ref="D69">VLOOKUP($C69,BD!$C:$X,BD!G$1-1,FALSE)</f>
        <v>12</v>
      </c>
      <c r="E69" s="18">
        <f t="shared" si="139"/>
        <v>1983.3332499999999</v>
      </c>
      <c r="F69" s="18">
        <f t="shared" si="140"/>
        <v>23799.999</v>
      </c>
      <c r="G69" s="38">
        <v>2684.902</v>
      </c>
      <c r="H69" s="38">
        <v>2516.7939999999999</v>
      </c>
      <c r="I69" s="38">
        <v>2209.9810000000002</v>
      </c>
      <c r="J69" s="38">
        <v>1915.952</v>
      </c>
      <c r="K69" s="38">
        <v>1728.028</v>
      </c>
      <c r="L69" s="38">
        <v>1403.9570000000001</v>
      </c>
      <c r="M69" s="38">
        <v>1357.9349999999999</v>
      </c>
      <c r="N69" s="38">
        <v>1263.3340000000001</v>
      </c>
      <c r="O69" s="38">
        <v>1624.479</v>
      </c>
      <c r="P69" s="38">
        <v>2114.1019999999999</v>
      </c>
      <c r="Q69" s="38">
        <v>2272.6219999999998</v>
      </c>
      <c r="R69" s="38">
        <v>2707.913</v>
      </c>
      <c r="S69" s="19">
        <f t="shared" si="112"/>
        <v>1</v>
      </c>
      <c r="T69" s="16">
        <f t="shared" si="113"/>
        <v>0.11281101314331989</v>
      </c>
      <c r="U69" s="16">
        <f t="shared" si="114"/>
        <v>0.10574765150200216</v>
      </c>
      <c r="V69" s="16">
        <f t="shared" si="115"/>
        <v>9.2856348439342387E-2</v>
      </c>
      <c r="W69" s="16">
        <f t="shared" si="116"/>
        <v>8.0502188256394464E-2</v>
      </c>
      <c r="X69" s="16">
        <f t="shared" si="117"/>
        <v>7.260622153807654E-2</v>
      </c>
      <c r="Y69" s="16">
        <f t="shared" si="118"/>
        <v>5.8989792394529096E-2</v>
      </c>
      <c r="Z69" s="16">
        <f t="shared" si="119"/>
        <v>5.7056094834289695E-2</v>
      </c>
      <c r="AA69" s="16">
        <f t="shared" si="120"/>
        <v>5.3081262734506841E-2</v>
      </c>
      <c r="AB69" s="16">
        <f t="shared" si="121"/>
        <v>6.8255423035942148E-2</v>
      </c>
      <c r="AC69" s="16">
        <f t="shared" si="122"/>
        <v>8.8827818858311716E-2</v>
      </c>
      <c r="AD69" s="16">
        <f t="shared" si="123"/>
        <v>9.5488323339845513E-2</v>
      </c>
      <c r="AE69" s="16">
        <f t="shared" si="124"/>
        <v>0.11377786192343958</v>
      </c>
      <c r="AF69" s="16">
        <f t="shared" si="125"/>
        <v>0.11281101314331989</v>
      </c>
      <c r="AG69" s="16">
        <f t="shared" si="126"/>
        <v>0.21855866464532203</v>
      </c>
      <c r="AH69" s="16">
        <f t="shared" si="127"/>
        <v>0.3114150130846644</v>
      </c>
      <c r="AI69" s="16">
        <f t="shared" si="128"/>
        <v>0.3919172013410589</v>
      </c>
      <c r="AJ69" s="16">
        <f t="shared" si="129"/>
        <v>0.46452342287913545</v>
      </c>
      <c r="AK69" s="16">
        <f t="shared" si="130"/>
        <v>0.52351321527366457</v>
      </c>
      <c r="AL69" s="16">
        <f t="shared" si="131"/>
        <v>0.58056931010795432</v>
      </c>
      <c r="AM69" s="16">
        <f t="shared" si="132"/>
        <v>0.63365057284246118</v>
      </c>
      <c r="AN69" s="16">
        <f t="shared" si="133"/>
        <v>0.7019059958784033</v>
      </c>
      <c r="AO69" s="16">
        <f t="shared" si="134"/>
        <v>0.790733814736715</v>
      </c>
      <c r="AP69" s="16">
        <f t="shared" si="135"/>
        <v>0.88622213807656047</v>
      </c>
      <c r="AQ69" s="16">
        <f t="shared" si="136"/>
        <v>1</v>
      </c>
    </row>
    <row r="70" spans="1:43" x14ac:dyDescent="0.25">
      <c r="A70" s="3"/>
      <c r="B70" s="3" t="s">
        <v>28</v>
      </c>
      <c r="C70" s="3" t="str">
        <f t="shared" si="111"/>
        <v>Bougainville</v>
      </c>
      <c r="D70" s="3" cm="1">
        <f t="array" ref="D70">VLOOKUP($C70,BD!$C:$X,BD!G$1-1,FALSE)</f>
        <v>12</v>
      </c>
      <c r="E70" s="18">
        <f t="shared" si="139"/>
        <v>1558.3332499999997</v>
      </c>
      <c r="F70" s="18">
        <f t="shared" si="140"/>
        <v>18699.998999999996</v>
      </c>
      <c r="G70" s="38">
        <v>2267.1729999999998</v>
      </c>
      <c r="H70" s="38">
        <v>2024.059</v>
      </c>
      <c r="I70" s="38">
        <v>1726.9739999999999</v>
      </c>
      <c r="J70" s="38">
        <v>1355.981</v>
      </c>
      <c r="K70" s="38">
        <v>1250.47</v>
      </c>
      <c r="L70" s="38">
        <v>1019.511</v>
      </c>
      <c r="M70" s="38">
        <v>1002.0069999999999</v>
      </c>
      <c r="N70" s="38">
        <v>1001.521</v>
      </c>
      <c r="O70" s="38">
        <v>1249.011</v>
      </c>
      <c r="P70" s="38">
        <v>1752.2570000000001</v>
      </c>
      <c r="Q70" s="38">
        <v>1875.759</v>
      </c>
      <c r="R70" s="38">
        <v>2175.2759999999998</v>
      </c>
      <c r="S70" s="19">
        <f t="shared" si="112"/>
        <v>1.0000000000000002</v>
      </c>
      <c r="T70" s="16">
        <f t="shared" si="113"/>
        <v>0.12123920434434249</v>
      </c>
      <c r="U70" s="16">
        <f t="shared" si="114"/>
        <v>0.10823845498601366</v>
      </c>
      <c r="V70" s="16">
        <f t="shared" si="115"/>
        <v>9.2351555740724928E-2</v>
      </c>
      <c r="W70" s="16">
        <f t="shared" si="116"/>
        <v>7.2512356818842619E-2</v>
      </c>
      <c r="X70" s="16">
        <f t="shared" si="117"/>
        <v>6.6870057051874723E-2</v>
      </c>
      <c r="Y70" s="16">
        <f t="shared" si="118"/>
        <v>5.4519307728305239E-2</v>
      </c>
      <c r="Z70" s="16">
        <f t="shared" si="119"/>
        <v>5.3583264897500808E-2</v>
      </c>
      <c r="AA70" s="16">
        <f t="shared" si="120"/>
        <v>5.3557275591298172E-2</v>
      </c>
      <c r="AB70" s="16">
        <f t="shared" si="121"/>
        <v>6.6792035657328122E-2</v>
      </c>
      <c r="AC70" s="16">
        <f t="shared" si="122"/>
        <v>9.3703587898587612E-2</v>
      </c>
      <c r="AD70" s="16">
        <f t="shared" si="123"/>
        <v>0.10030797327850127</v>
      </c>
      <c r="AE70" s="16">
        <f t="shared" si="124"/>
        <v>0.11632492600668055</v>
      </c>
      <c r="AF70" s="16">
        <f t="shared" si="125"/>
        <v>0.12123920434434249</v>
      </c>
      <c r="AG70" s="16">
        <f t="shared" si="126"/>
        <v>0.22947765933035613</v>
      </c>
      <c r="AH70" s="16">
        <f t="shared" si="127"/>
        <v>0.32182921507108109</v>
      </c>
      <c r="AI70" s="16">
        <f t="shared" si="128"/>
        <v>0.39434157188992369</v>
      </c>
      <c r="AJ70" s="16">
        <f t="shared" si="129"/>
        <v>0.4612116289417984</v>
      </c>
      <c r="AK70" s="16">
        <f t="shared" si="130"/>
        <v>0.51573093667010361</v>
      </c>
      <c r="AL70" s="16">
        <f t="shared" si="131"/>
        <v>0.56931420156760437</v>
      </c>
      <c r="AM70" s="16">
        <f t="shared" si="132"/>
        <v>0.62287147715890256</v>
      </c>
      <c r="AN70" s="16">
        <f t="shared" si="133"/>
        <v>0.68966351281623073</v>
      </c>
      <c r="AO70" s="16">
        <f t="shared" si="134"/>
        <v>0.7833671007148183</v>
      </c>
      <c r="AP70" s="16">
        <f t="shared" si="135"/>
        <v>0.88367507399331957</v>
      </c>
      <c r="AQ70" s="16">
        <f t="shared" si="136"/>
        <v>1.0000000000000002</v>
      </c>
    </row>
    <row r="71" spans="1:43" x14ac:dyDescent="0.25">
      <c r="A71" s="3"/>
      <c r="B71" s="3" t="s">
        <v>41</v>
      </c>
      <c r="C71" s="3" t="str">
        <f t="shared" si="111"/>
        <v>Saint-André</v>
      </c>
      <c r="D71" s="3" cm="1">
        <f t="array" ref="D71">VLOOKUP($C71,BD!$C:$X,BD!G$1-1,FALSE)</f>
        <v>11.5</v>
      </c>
      <c r="E71" s="18">
        <f t="shared" si="139"/>
        <v>1765.2173043478265</v>
      </c>
      <c r="F71" s="18">
        <f t="shared" si="140"/>
        <v>20299.999000000003</v>
      </c>
      <c r="G71" s="38">
        <v>2349.54</v>
      </c>
      <c r="H71" s="38">
        <v>2148.3009999999999</v>
      </c>
      <c r="I71" s="38">
        <v>1875.4870000000001</v>
      </c>
      <c r="J71" s="38">
        <v>1545.1030000000001</v>
      </c>
      <c r="K71" s="38">
        <v>1434.6289999999999</v>
      </c>
      <c r="L71" s="38">
        <v>1177.375</v>
      </c>
      <c r="M71" s="38">
        <v>1129.6590000000001</v>
      </c>
      <c r="N71" s="38">
        <v>1101.1320000000001</v>
      </c>
      <c r="O71" s="38">
        <v>1385.356</v>
      </c>
      <c r="P71" s="38">
        <v>1877.5619999999999</v>
      </c>
      <c r="Q71" s="38">
        <v>1981.2929999999999</v>
      </c>
      <c r="R71" s="38">
        <v>2294.5619999999999</v>
      </c>
      <c r="S71" s="19">
        <f t="shared" si="112"/>
        <v>0.99999999999999989</v>
      </c>
      <c r="T71" s="16">
        <f t="shared" si="113"/>
        <v>0.11574089240102917</v>
      </c>
      <c r="U71" s="16">
        <f t="shared" si="114"/>
        <v>0.10582764068116454</v>
      </c>
      <c r="V71" s="16">
        <f t="shared" si="115"/>
        <v>9.2388526718646627E-2</v>
      </c>
      <c r="W71" s="16">
        <f t="shared" si="116"/>
        <v>7.6113452025293196E-2</v>
      </c>
      <c r="X71" s="16">
        <f t="shared" si="117"/>
        <v>7.0671382791693715E-2</v>
      </c>
      <c r="Y71" s="16">
        <f t="shared" si="118"/>
        <v>5.7998771329988728E-2</v>
      </c>
      <c r="Z71" s="16">
        <f t="shared" si="119"/>
        <v>5.5648229342277304E-2</v>
      </c>
      <c r="AA71" s="16">
        <f t="shared" si="120"/>
        <v>5.4242958337091536E-2</v>
      </c>
      <c r="AB71" s="16">
        <f t="shared" si="121"/>
        <v>6.8244141292814836E-2</v>
      </c>
      <c r="AC71" s="16">
        <f t="shared" si="122"/>
        <v>9.2490743472450399E-2</v>
      </c>
      <c r="AD71" s="16">
        <f t="shared" si="123"/>
        <v>9.7600645202002206E-2</v>
      </c>
      <c r="AE71" s="16">
        <f t="shared" si="124"/>
        <v>0.11303261640554758</v>
      </c>
      <c r="AF71" s="16">
        <f t="shared" si="125"/>
        <v>0.11574089240102917</v>
      </c>
      <c r="AG71" s="16">
        <f t="shared" si="126"/>
        <v>0.22156853308219371</v>
      </c>
      <c r="AH71" s="16">
        <f t="shared" si="127"/>
        <v>0.31395705980084032</v>
      </c>
      <c r="AI71" s="16">
        <f t="shared" si="128"/>
        <v>0.3900705118261335</v>
      </c>
      <c r="AJ71" s="16">
        <f t="shared" si="129"/>
        <v>0.46074189461782722</v>
      </c>
      <c r="AK71" s="16">
        <f t="shared" si="130"/>
        <v>0.51874066594781598</v>
      </c>
      <c r="AL71" s="16">
        <f t="shared" si="131"/>
        <v>0.57438889529009329</v>
      </c>
      <c r="AM71" s="16">
        <f t="shared" si="132"/>
        <v>0.62863185362718488</v>
      </c>
      <c r="AN71" s="16">
        <f t="shared" si="133"/>
        <v>0.69687599491999974</v>
      </c>
      <c r="AO71" s="16">
        <f t="shared" si="134"/>
        <v>0.78936673839245008</v>
      </c>
      <c r="AP71" s="16">
        <f t="shared" si="135"/>
        <v>0.88696738359445226</v>
      </c>
      <c r="AQ71" s="16">
        <f t="shared" si="136"/>
        <v>0.99999999999999989</v>
      </c>
    </row>
    <row r="72" spans="1:43" x14ac:dyDescent="0.25">
      <c r="A72" s="3"/>
      <c r="B72" s="3" t="s">
        <v>95</v>
      </c>
      <c r="C72" s="3" t="str">
        <f t="shared" si="111"/>
        <v>Morlange</v>
      </c>
      <c r="D72" s="3" cm="1">
        <f t="array" ref="D72">VLOOKUP($C72,BD!$C:$X,BD!G$1-1,FALSE)</f>
        <v>9.6</v>
      </c>
      <c r="E72" s="18">
        <f t="shared" si="139"/>
        <v>2006.2498958333333</v>
      </c>
      <c r="F72" s="18">
        <f t="shared" si="140"/>
        <v>19259.999</v>
      </c>
      <c r="G72" s="38">
        <v>2131.2570000000001</v>
      </c>
      <c r="H72" s="38">
        <v>1971.396</v>
      </c>
      <c r="I72" s="38">
        <v>1847.548</v>
      </c>
      <c r="J72" s="38">
        <v>1524.752</v>
      </c>
      <c r="K72" s="38">
        <v>1359.181</v>
      </c>
      <c r="L72" s="38">
        <v>1146.18</v>
      </c>
      <c r="M72" s="38">
        <v>1161.99</v>
      </c>
      <c r="N72" s="38">
        <v>1108.4100000000001</v>
      </c>
      <c r="O72" s="38">
        <v>1379.085</v>
      </c>
      <c r="P72" s="38">
        <v>1749.2080000000001</v>
      </c>
      <c r="Q72" s="38">
        <v>1768.96</v>
      </c>
      <c r="R72" s="38">
        <v>2112.0320000000002</v>
      </c>
      <c r="S72" s="19">
        <f t="shared" si="112"/>
        <v>1</v>
      </c>
      <c r="T72" s="16">
        <f t="shared" si="113"/>
        <v>0.11065717085447409</v>
      </c>
      <c r="U72" s="16">
        <f t="shared" si="114"/>
        <v>0.10235701466028113</v>
      </c>
      <c r="V72" s="16">
        <f t="shared" si="115"/>
        <v>9.5926692415716122E-2</v>
      </c>
      <c r="W72" s="16">
        <f t="shared" si="116"/>
        <v>7.9166774619251021E-2</v>
      </c>
      <c r="X72" s="16">
        <f t="shared" si="117"/>
        <v>7.0570149043102243E-2</v>
      </c>
      <c r="Y72" s="16">
        <f t="shared" si="118"/>
        <v>5.951090651666182E-2</v>
      </c>
      <c r="Z72" s="16">
        <f t="shared" si="119"/>
        <v>6.0331778833425692E-2</v>
      </c>
      <c r="AA72" s="16">
        <f t="shared" si="120"/>
        <v>5.7549847224810352E-2</v>
      </c>
      <c r="AB72" s="16">
        <f t="shared" si="121"/>
        <v>7.1603586272252662E-2</v>
      </c>
      <c r="AC72" s="16">
        <f t="shared" si="122"/>
        <v>9.0820773147496009E-2</v>
      </c>
      <c r="AD72" s="16">
        <f t="shared" si="123"/>
        <v>9.1846318372082986E-2</v>
      </c>
      <c r="AE72" s="16">
        <f t="shared" si="124"/>
        <v>0.10965898804044591</v>
      </c>
      <c r="AF72" s="16">
        <f t="shared" si="125"/>
        <v>0.11065717085447409</v>
      </c>
      <c r="AG72" s="16">
        <f t="shared" si="126"/>
        <v>0.21301418551475521</v>
      </c>
      <c r="AH72" s="16">
        <f t="shared" si="127"/>
        <v>0.30894087793047131</v>
      </c>
      <c r="AI72" s="16">
        <f t="shared" si="128"/>
        <v>0.38810765254972235</v>
      </c>
      <c r="AJ72" s="16">
        <f t="shared" si="129"/>
        <v>0.45867780159282456</v>
      </c>
      <c r="AK72" s="16">
        <f t="shared" si="130"/>
        <v>0.51818870810948636</v>
      </c>
      <c r="AL72" s="16">
        <f t="shared" si="131"/>
        <v>0.57852048694291203</v>
      </c>
      <c r="AM72" s="16">
        <f t="shared" si="132"/>
        <v>0.63607033416772241</v>
      </c>
      <c r="AN72" s="16">
        <f t="shared" si="133"/>
        <v>0.70767392043997512</v>
      </c>
      <c r="AO72" s="16">
        <f t="shared" si="134"/>
        <v>0.79849469358747116</v>
      </c>
      <c r="AP72" s="16">
        <f t="shared" si="135"/>
        <v>0.89034101195955417</v>
      </c>
      <c r="AQ72" s="16">
        <f t="shared" si="136"/>
        <v>1</v>
      </c>
    </row>
    <row r="73" spans="1:43" x14ac:dyDescent="0.25">
      <c r="A73" s="3"/>
      <c r="B73" s="3" t="s">
        <v>96</v>
      </c>
      <c r="C73" s="3" t="str">
        <f t="shared" si="111"/>
        <v>Zondrange</v>
      </c>
      <c r="D73" s="3" cm="1">
        <f t="array" ref="D73">VLOOKUP($C73,BD!$C:$X,BD!G$1-1,FALSE)</f>
        <v>12.5</v>
      </c>
      <c r="E73" s="18">
        <f t="shared" si="139"/>
        <v>1702.4000000000003</v>
      </c>
      <c r="F73" s="18">
        <f t="shared" si="140"/>
        <v>21280.000000000004</v>
      </c>
      <c r="G73" s="38">
        <v>2382.59</v>
      </c>
      <c r="H73" s="38">
        <v>2194.36</v>
      </c>
      <c r="I73" s="38">
        <v>2051.221</v>
      </c>
      <c r="J73" s="38">
        <v>1663.2270000000001</v>
      </c>
      <c r="K73" s="38">
        <v>1463.9860000000001</v>
      </c>
      <c r="L73" s="38">
        <v>1211.79</v>
      </c>
      <c r="M73" s="38">
        <v>1229.617</v>
      </c>
      <c r="N73" s="38">
        <v>1166.174</v>
      </c>
      <c r="O73" s="38">
        <v>1528.4770000000001</v>
      </c>
      <c r="P73" s="38">
        <v>1973.098</v>
      </c>
      <c r="Q73" s="38">
        <v>1998.2650000000001</v>
      </c>
      <c r="R73" s="38">
        <v>2417.1950000000002</v>
      </c>
      <c r="S73" s="19">
        <f t="shared" si="112"/>
        <v>0.99999999999999978</v>
      </c>
      <c r="T73" s="16">
        <f t="shared" si="113"/>
        <v>0.11196381578947368</v>
      </c>
      <c r="U73" s="16">
        <f t="shared" si="114"/>
        <v>0.10311842105263157</v>
      </c>
      <c r="V73" s="16">
        <f t="shared" si="115"/>
        <v>9.6391964285714268E-2</v>
      </c>
      <c r="W73" s="16">
        <f t="shared" si="116"/>
        <v>7.8159163533834577E-2</v>
      </c>
      <c r="X73" s="16">
        <f t="shared" si="117"/>
        <v>6.8796334586466154E-2</v>
      </c>
      <c r="Y73" s="16">
        <f t="shared" si="118"/>
        <v>5.6945018796992472E-2</v>
      </c>
      <c r="Z73" s="16">
        <f t="shared" si="119"/>
        <v>5.7782753759398488E-2</v>
      </c>
      <c r="AA73" s="16">
        <f t="shared" si="120"/>
        <v>5.480140977443608E-2</v>
      </c>
      <c r="AB73" s="16">
        <f t="shared" si="121"/>
        <v>7.1826926691729312E-2</v>
      </c>
      <c r="AC73" s="16">
        <f t="shared" si="122"/>
        <v>9.2720770676691711E-2</v>
      </c>
      <c r="AD73" s="16">
        <f t="shared" si="123"/>
        <v>9.3903430451127812E-2</v>
      </c>
      <c r="AE73" s="16">
        <f t="shared" si="124"/>
        <v>0.11358999060150375</v>
      </c>
      <c r="AF73" s="16">
        <f t="shared" si="125"/>
        <v>0.11196381578947368</v>
      </c>
      <c r="AG73" s="16">
        <f t="shared" si="126"/>
        <v>0.21508223684210526</v>
      </c>
      <c r="AH73" s="16">
        <f t="shared" si="127"/>
        <v>0.31147420112781954</v>
      </c>
      <c r="AI73" s="16">
        <f t="shared" si="128"/>
        <v>0.3896333646616541</v>
      </c>
      <c r="AJ73" s="16">
        <f t="shared" si="129"/>
        <v>0.45842969924812027</v>
      </c>
      <c r="AK73" s="16">
        <f t="shared" si="130"/>
        <v>0.5153747180451127</v>
      </c>
      <c r="AL73" s="16">
        <f t="shared" si="131"/>
        <v>0.57315747180451115</v>
      </c>
      <c r="AM73" s="16">
        <f t="shared" si="132"/>
        <v>0.62795888157894719</v>
      </c>
      <c r="AN73" s="16">
        <f t="shared" si="133"/>
        <v>0.69978580827067649</v>
      </c>
      <c r="AO73" s="16">
        <f t="shared" si="134"/>
        <v>0.7925065789473682</v>
      </c>
      <c r="AP73" s="16">
        <f t="shared" si="135"/>
        <v>0.88641000939849601</v>
      </c>
      <c r="AQ73" s="16">
        <f t="shared" si="136"/>
        <v>0.99999999999999978</v>
      </c>
    </row>
    <row r="74" spans="1:43" ht="23.45" customHeight="1" x14ac:dyDescent="0.25">
      <c r="A74" s="3"/>
      <c r="B74" s="3" t="s">
        <v>103</v>
      </c>
      <c r="C74" s="3" t="str">
        <f t="shared" si="111"/>
        <v>Plaine de Beaunay</v>
      </c>
      <c r="D74" s="3" cm="1">
        <f t="array" ref="D74">VLOOKUP($C74,BD!$C:$X,BD!G$1-1,FALSE)</f>
        <v>12.5</v>
      </c>
      <c r="E74" s="18">
        <f t="shared" si="139"/>
        <v>2264.0000800000003</v>
      </c>
      <c r="F74" s="18">
        <f t="shared" si="140"/>
        <v>28300.001000000004</v>
      </c>
      <c r="G74" s="38">
        <v>3487.61</v>
      </c>
      <c r="H74" s="38">
        <v>3113.7660000000001</v>
      </c>
      <c r="I74" s="38">
        <v>2602.3409999999999</v>
      </c>
      <c r="J74" s="38">
        <v>2054.9</v>
      </c>
      <c r="K74" s="38">
        <v>1917.319</v>
      </c>
      <c r="L74" s="38">
        <v>1480.807</v>
      </c>
      <c r="M74" s="38">
        <v>1423.182</v>
      </c>
      <c r="N74" s="38">
        <v>1447.673</v>
      </c>
      <c r="O74" s="38">
        <v>1840.9659999999999</v>
      </c>
      <c r="P74" s="38">
        <v>2694.5410000000002</v>
      </c>
      <c r="Q74" s="38">
        <v>2932.2460000000001</v>
      </c>
      <c r="R74" s="38">
        <v>3304.65</v>
      </c>
      <c r="S74" s="19">
        <f t="shared" si="112"/>
        <v>1</v>
      </c>
      <c r="T74" s="16">
        <f t="shared" si="113"/>
        <v>0.12323709811883045</v>
      </c>
      <c r="U74" s="16">
        <f t="shared" si="114"/>
        <v>0.11002706324992709</v>
      </c>
      <c r="V74" s="16">
        <f t="shared" si="115"/>
        <v>9.1955509118179873E-2</v>
      </c>
      <c r="W74" s="16">
        <f t="shared" si="116"/>
        <v>7.261130485472421E-2</v>
      </c>
      <c r="X74" s="16">
        <f t="shared" si="117"/>
        <v>6.7749785591880357E-2</v>
      </c>
      <c r="Y74" s="16">
        <f t="shared" si="118"/>
        <v>5.2325333840094204E-2</v>
      </c>
      <c r="Z74" s="16">
        <f t="shared" si="119"/>
        <v>5.0289114830773321E-2</v>
      </c>
      <c r="AA74" s="16">
        <f t="shared" si="120"/>
        <v>5.1154521160617618E-2</v>
      </c>
      <c r="AB74" s="16">
        <f t="shared" si="121"/>
        <v>6.505179982149116E-2</v>
      </c>
      <c r="AC74" s="16">
        <f t="shared" si="122"/>
        <v>9.5213459533093292E-2</v>
      </c>
      <c r="AD74" s="16">
        <f t="shared" si="123"/>
        <v>0.10361292920095655</v>
      </c>
      <c r="AE74" s="16">
        <f t="shared" si="124"/>
        <v>0.11677208067943176</v>
      </c>
      <c r="AF74" s="16">
        <f t="shared" si="125"/>
        <v>0.12323709811883045</v>
      </c>
      <c r="AG74" s="16">
        <f t="shared" si="126"/>
        <v>0.23326416136875755</v>
      </c>
      <c r="AH74" s="16">
        <f t="shared" si="127"/>
        <v>0.32521967048693745</v>
      </c>
      <c r="AI74" s="16">
        <f t="shared" si="128"/>
        <v>0.39783097534166167</v>
      </c>
      <c r="AJ74" s="16">
        <f t="shared" si="129"/>
        <v>0.46558076093354206</v>
      </c>
      <c r="AK74" s="16">
        <f t="shared" si="130"/>
        <v>0.51790609477363625</v>
      </c>
      <c r="AL74" s="16">
        <f t="shared" si="131"/>
        <v>0.56819520960440961</v>
      </c>
      <c r="AM74" s="16">
        <f t="shared" si="132"/>
        <v>0.6193497307650272</v>
      </c>
      <c r="AN74" s="16">
        <f t="shared" si="133"/>
        <v>0.68440153058651831</v>
      </c>
      <c r="AO74" s="16">
        <f t="shared" si="134"/>
        <v>0.77961499011961166</v>
      </c>
      <c r="AP74" s="16">
        <f t="shared" si="135"/>
        <v>0.88322791932056821</v>
      </c>
      <c r="AQ74" s="16">
        <f t="shared" si="136"/>
        <v>1</v>
      </c>
    </row>
    <row r="75" spans="1:43" ht="17.100000000000001" customHeight="1" x14ac:dyDescent="0.25">
      <c r="A75" s="3"/>
      <c r="B75" s="3" t="s">
        <v>101</v>
      </c>
      <c r="C75" s="3" t="s">
        <v>102</v>
      </c>
      <c r="D75" s="3" cm="1">
        <f t="array" ref="D75">VLOOKUP($C75,BD!$C:$X,BD!G$1-1,FALSE)</f>
        <v>15</v>
      </c>
      <c r="E75" s="18">
        <f t="shared" si="139"/>
        <v>2433.3333333333335</v>
      </c>
      <c r="F75" s="18">
        <f t="shared" si="140"/>
        <v>36500</v>
      </c>
      <c r="G75" s="38">
        <v>4344.4219999999996</v>
      </c>
      <c r="H75" s="38">
        <v>3888.4650000000001</v>
      </c>
      <c r="I75" s="38">
        <v>3351.9949999999999</v>
      </c>
      <c r="J75" s="38">
        <v>2692.636</v>
      </c>
      <c r="K75" s="38">
        <v>2513.8130000000001</v>
      </c>
      <c r="L75" s="38">
        <v>2032.43</v>
      </c>
      <c r="M75" s="38">
        <v>1953.6120000000001</v>
      </c>
      <c r="N75" s="38">
        <v>1984.97</v>
      </c>
      <c r="O75" s="38">
        <v>2461.2669999999998</v>
      </c>
      <c r="P75" s="38">
        <v>3458.78</v>
      </c>
      <c r="Q75" s="38">
        <v>3660.4859999999999</v>
      </c>
      <c r="R75" s="38">
        <v>4157.1239999999998</v>
      </c>
      <c r="S75" s="19">
        <f t="shared" si="112"/>
        <v>0.99999999999999978</v>
      </c>
      <c r="T75" s="16">
        <f t="shared" si="113"/>
        <v>0.11902526027397259</v>
      </c>
      <c r="U75" s="16">
        <f t="shared" si="114"/>
        <v>0.10653328767123288</v>
      </c>
      <c r="V75" s="16">
        <f t="shared" si="115"/>
        <v>9.1835479452054794E-2</v>
      </c>
      <c r="W75" s="16">
        <f t="shared" si="116"/>
        <v>7.3770849315068499E-2</v>
      </c>
      <c r="X75" s="16">
        <f t="shared" si="117"/>
        <v>6.8871589041095888E-2</v>
      </c>
      <c r="Y75" s="16">
        <f t="shared" si="118"/>
        <v>5.5683013698630136E-2</v>
      </c>
      <c r="Z75" s="16">
        <f t="shared" si="119"/>
        <v>5.3523616438356167E-2</v>
      </c>
      <c r="AA75" s="16">
        <f t="shared" si="120"/>
        <v>5.4382739726027397E-2</v>
      </c>
      <c r="AB75" s="16">
        <f t="shared" si="121"/>
        <v>6.7431972602739726E-2</v>
      </c>
      <c r="AC75" s="16">
        <f t="shared" si="122"/>
        <v>9.4761095890410971E-2</v>
      </c>
      <c r="AD75" s="16">
        <f t="shared" si="123"/>
        <v>0.10028728767123288</v>
      </c>
      <c r="AE75" s="16">
        <f t="shared" si="124"/>
        <v>0.11389380821917808</v>
      </c>
      <c r="AF75" s="16">
        <f t="shared" si="125"/>
        <v>0.11902526027397259</v>
      </c>
      <c r="AG75" s="16">
        <f t="shared" si="126"/>
        <v>0.22555854794520547</v>
      </c>
      <c r="AH75" s="16">
        <f t="shared" si="127"/>
        <v>0.31739402739726025</v>
      </c>
      <c r="AI75" s="16">
        <f t="shared" si="128"/>
        <v>0.39116487671232875</v>
      </c>
      <c r="AJ75" s="16">
        <f t="shared" si="129"/>
        <v>0.46003646575342461</v>
      </c>
      <c r="AK75" s="16">
        <f t="shared" si="130"/>
        <v>0.51571947945205476</v>
      </c>
      <c r="AL75" s="16">
        <f t="shared" si="131"/>
        <v>0.56924309589041089</v>
      </c>
      <c r="AM75" s="16">
        <f t="shared" si="132"/>
        <v>0.62362583561643825</v>
      </c>
      <c r="AN75" s="16">
        <f t="shared" si="133"/>
        <v>0.69105780821917795</v>
      </c>
      <c r="AO75" s="16">
        <f t="shared" si="134"/>
        <v>0.78581890410958888</v>
      </c>
      <c r="AP75" s="16">
        <f t="shared" si="135"/>
        <v>0.88610619178082173</v>
      </c>
      <c r="AQ75" s="16">
        <f t="shared" si="136"/>
        <v>0.99999999999999978</v>
      </c>
    </row>
    <row r="76" spans="1:43" ht="17.100000000000001" customHeight="1" x14ac:dyDescent="0.25">
      <c r="A76" s="9"/>
      <c r="B76" s="3" t="s">
        <v>108</v>
      </c>
      <c r="C76" s="3" t="str">
        <f>B76</f>
        <v>Noyer Bucamps</v>
      </c>
      <c r="D76" s="3" cm="1">
        <f t="array" ref="D76">VLOOKUP($C76,BD!$C:$X,BD!G$1-1,FALSE)</f>
        <v>10</v>
      </c>
      <c r="E76" s="18">
        <f t="shared" ref="E76" si="141">F76/D76</f>
        <v>2659.9998000000001</v>
      </c>
      <c r="F76" s="18">
        <f t="shared" ref="F76" si="142">SUM(G76:R76)</f>
        <v>26599.998</v>
      </c>
      <c r="G76" s="38">
        <v>2972.05</v>
      </c>
      <c r="H76" s="38">
        <v>2748.0279999999998</v>
      </c>
      <c r="I76" s="38">
        <v>2442.3760000000002</v>
      </c>
      <c r="J76" s="38">
        <v>2060.6179999999999</v>
      </c>
      <c r="K76" s="38">
        <v>1933.57</v>
      </c>
      <c r="L76" s="38">
        <v>1626.077</v>
      </c>
      <c r="M76" s="38">
        <v>1565.3150000000001</v>
      </c>
      <c r="N76" s="38">
        <v>1525.421</v>
      </c>
      <c r="O76" s="38">
        <v>1858.692</v>
      </c>
      <c r="P76" s="38">
        <v>2426.4189999999999</v>
      </c>
      <c r="Q76" s="38">
        <v>2534.44</v>
      </c>
      <c r="R76" s="38">
        <v>2906.9920000000002</v>
      </c>
      <c r="S76" s="19">
        <f t="shared" si="112"/>
        <v>1</v>
      </c>
      <c r="T76" s="16">
        <f t="shared" si="113"/>
        <v>0.11173121140836177</v>
      </c>
      <c r="U76" s="16">
        <f t="shared" si="114"/>
        <v>0.10330933107588955</v>
      </c>
      <c r="V76" s="16">
        <f t="shared" si="115"/>
        <v>9.1818653520199522E-2</v>
      </c>
      <c r="W76" s="16">
        <f t="shared" si="116"/>
        <v>7.7466847929838184E-2</v>
      </c>
      <c r="X76" s="16">
        <f t="shared" si="117"/>
        <v>7.2690606969218571E-2</v>
      </c>
      <c r="Y76" s="16">
        <f t="shared" si="118"/>
        <v>6.1130718882008939E-2</v>
      </c>
      <c r="Z76" s="16">
        <f t="shared" si="119"/>
        <v>5.8846432995972406E-2</v>
      </c>
      <c r="AA76" s="16">
        <f t="shared" si="120"/>
        <v>5.7346658447117178E-2</v>
      </c>
      <c r="AB76" s="16">
        <f t="shared" si="121"/>
        <v>6.9875644351552205E-2</v>
      </c>
      <c r="AC76" s="16">
        <f t="shared" si="122"/>
        <v>9.1218766257050096E-2</v>
      </c>
      <c r="AD76" s="16">
        <f t="shared" si="123"/>
        <v>9.5279706412008003E-2</v>
      </c>
      <c r="AE76" s="16">
        <f t="shared" si="124"/>
        <v>0.1092854217507836</v>
      </c>
      <c r="AF76" s="16">
        <f t="shared" si="125"/>
        <v>0.11173121140836177</v>
      </c>
      <c r="AG76" s="16">
        <f t="shared" si="126"/>
        <v>0.21504054248425131</v>
      </c>
      <c r="AH76" s="16">
        <f t="shared" si="127"/>
        <v>0.30685919600445083</v>
      </c>
      <c r="AI76" s="16">
        <f t="shared" si="128"/>
        <v>0.38432604393428904</v>
      </c>
      <c r="AJ76" s="16">
        <f t="shared" si="129"/>
        <v>0.45701665090350763</v>
      </c>
      <c r="AK76" s="16">
        <f t="shared" si="130"/>
        <v>0.51814736978551656</v>
      </c>
      <c r="AL76" s="16">
        <f t="shared" si="131"/>
        <v>0.57699380278148893</v>
      </c>
      <c r="AM76" s="16">
        <f t="shared" si="132"/>
        <v>0.6343404612286061</v>
      </c>
      <c r="AN76" s="16">
        <f t="shared" si="133"/>
        <v>0.70421610558015835</v>
      </c>
      <c r="AO76" s="16">
        <f t="shared" si="134"/>
        <v>0.7954348718372084</v>
      </c>
      <c r="AP76" s="16">
        <f t="shared" si="135"/>
        <v>0.8907145782492164</v>
      </c>
      <c r="AQ76" s="16">
        <f t="shared" si="136"/>
        <v>1</v>
      </c>
    </row>
    <row r="77" spans="1:43" x14ac:dyDescent="0.25">
      <c r="B77" s="3" t="s">
        <v>121</v>
      </c>
      <c r="C77" s="3" t="str">
        <f t="shared" si="95"/>
        <v>XSAN</v>
      </c>
      <c r="D77" s="3" cm="1">
        <f t="array" ref="D77">VLOOKUP($C77,BD!$C:$X,BD!G$1-1,FALSE)</f>
        <v>15</v>
      </c>
      <c r="E77" s="39">
        <f>45752/D77</f>
        <v>3050.1333333333332</v>
      </c>
      <c r="F77" s="18">
        <f t="shared" ref="F77:F112" si="143">D77*E77</f>
        <v>45752</v>
      </c>
      <c r="G77" s="2"/>
      <c r="H77" s="2"/>
      <c r="I77" s="30"/>
      <c r="J77" s="2"/>
      <c r="K77" s="2"/>
      <c r="L77" s="2"/>
      <c r="M77" s="2"/>
      <c r="N77" s="2"/>
      <c r="O77" s="2"/>
      <c r="P77" s="2"/>
      <c r="Q77" s="2"/>
      <c r="R77" s="2"/>
      <c r="S77" s="19">
        <f t="shared" si="44"/>
        <v>1.0001</v>
      </c>
      <c r="T77" s="40">
        <v>0.1106</v>
      </c>
      <c r="U77" s="40">
        <v>0.1012</v>
      </c>
      <c r="V77" s="40">
        <v>9.0899999999999995E-2</v>
      </c>
      <c r="W77" s="40">
        <v>7.6999999999999999E-2</v>
      </c>
      <c r="X77" s="40">
        <v>7.2300000000000003E-2</v>
      </c>
      <c r="Y77" s="40">
        <v>6.2600000000000003E-2</v>
      </c>
      <c r="Z77" s="40">
        <v>6.0100000000000001E-2</v>
      </c>
      <c r="AA77" s="40">
        <v>5.9700000000000003E-2</v>
      </c>
      <c r="AB77" s="40">
        <v>7.1599999999999997E-2</v>
      </c>
      <c r="AC77" s="40">
        <v>9.1399999999999995E-2</v>
      </c>
      <c r="AD77" s="40">
        <v>9.5299999999999996E-2</v>
      </c>
      <c r="AE77" s="40">
        <v>0.1074</v>
      </c>
      <c r="AF77" s="16">
        <f t="shared" si="57"/>
        <v>0.1106</v>
      </c>
      <c r="AG77" s="16">
        <f t="shared" si="58"/>
        <v>0.21179999999999999</v>
      </c>
      <c r="AH77" s="16">
        <f t="shared" si="59"/>
        <v>0.30269999999999997</v>
      </c>
      <c r="AI77" s="16">
        <f t="shared" si="60"/>
        <v>0.37969999999999998</v>
      </c>
      <c r="AJ77" s="16">
        <f t="shared" si="61"/>
        <v>0.45199999999999996</v>
      </c>
      <c r="AK77" s="16">
        <f t="shared" si="62"/>
        <v>0.51459999999999995</v>
      </c>
      <c r="AL77" s="16">
        <f t="shared" si="63"/>
        <v>0.57469999999999999</v>
      </c>
      <c r="AM77" s="16">
        <f t="shared" si="64"/>
        <v>0.63439999999999996</v>
      </c>
      <c r="AN77" s="16">
        <f t="shared" si="65"/>
        <v>0.70599999999999996</v>
      </c>
      <c r="AO77" s="16">
        <f t="shared" si="66"/>
        <v>0.7974</v>
      </c>
      <c r="AP77" s="16">
        <f t="shared" si="67"/>
        <v>0.89270000000000005</v>
      </c>
      <c r="AQ77" s="16">
        <f t="shared" si="68"/>
        <v>1.0001</v>
      </c>
    </row>
    <row r="78" spans="1:43" x14ac:dyDescent="0.25">
      <c r="B78" s="3" t="s">
        <v>147</v>
      </c>
      <c r="C78" s="3" t="str">
        <f t="shared" si="95"/>
        <v>Cruis</v>
      </c>
      <c r="D78" s="3" cm="1">
        <f t="array" ref="D78">VLOOKUP($C78,BD!$C:$X,BD!G$1-1,FALSE)</f>
        <v>13</v>
      </c>
      <c r="E78" s="39">
        <f>24007/D78</f>
        <v>1846.6923076923076</v>
      </c>
      <c r="F78" s="18">
        <f t="shared" si="143"/>
        <v>24007</v>
      </c>
      <c r="G78" s="2"/>
      <c r="H78" s="2"/>
      <c r="I78" s="30"/>
      <c r="J78" s="30"/>
      <c r="K78" s="2"/>
      <c r="L78" s="2"/>
      <c r="M78" s="2"/>
      <c r="N78" s="2"/>
      <c r="O78" s="2"/>
      <c r="P78" s="2"/>
      <c r="Q78" s="2"/>
      <c r="R78" s="2"/>
      <c r="S78" s="19">
        <f t="shared" si="44"/>
        <v>1</v>
      </c>
      <c r="T78" s="40">
        <v>5.3371092976727645E-2</v>
      </c>
      <c r="U78" s="40">
        <v>8.0276413283379464E-2</v>
      </c>
      <c r="V78" s="40">
        <v>9.2676841983388908E-2</v>
      </c>
      <c r="W78" s="40">
        <v>9.4087671663081796E-2</v>
      </c>
      <c r="X78" s="40">
        <v>9.7011461010454617E-2</v>
      </c>
      <c r="Y78" s="40">
        <v>0.11123026874450739</v>
      </c>
      <c r="Z78" s="40">
        <v>0.11214040345025041</v>
      </c>
      <c r="AA78" s="40">
        <v>0.10119514300999667</v>
      </c>
      <c r="AB78" s="40">
        <v>9.2772643772946833E-2</v>
      </c>
      <c r="AC78" s="40">
        <v>6.5974246755706997E-2</v>
      </c>
      <c r="AD78" s="40">
        <v>5.4229053667110075E-2</v>
      </c>
      <c r="AE78" s="40">
        <v>4.5034759682449341E-2</v>
      </c>
      <c r="AF78" s="16">
        <f t="shared" si="57"/>
        <v>5.3371092976727645E-2</v>
      </c>
      <c r="AG78" s="16">
        <f t="shared" si="58"/>
        <v>0.1336475062601071</v>
      </c>
      <c r="AH78" s="16">
        <f t="shared" si="59"/>
        <v>0.22632434824349601</v>
      </c>
      <c r="AI78" s="16">
        <f t="shared" si="60"/>
        <v>0.32041201990657781</v>
      </c>
      <c r="AJ78" s="16">
        <f t="shared" si="61"/>
        <v>0.41742348091703241</v>
      </c>
      <c r="AK78" s="16">
        <f t="shared" si="62"/>
        <v>0.52865374966153977</v>
      </c>
      <c r="AL78" s="16">
        <f t="shared" si="63"/>
        <v>0.64079415311179022</v>
      </c>
      <c r="AM78" s="16">
        <f t="shared" si="64"/>
        <v>0.74198929612178688</v>
      </c>
      <c r="AN78" s="16">
        <f t="shared" si="65"/>
        <v>0.83476193989473368</v>
      </c>
      <c r="AO78" s="16">
        <f t="shared" si="66"/>
        <v>0.90073618665044064</v>
      </c>
      <c r="AP78" s="16">
        <f t="shared" si="67"/>
        <v>0.9549652403175507</v>
      </c>
      <c r="AQ78" s="16">
        <f t="shared" si="68"/>
        <v>1</v>
      </c>
    </row>
    <row r="79" spans="1:43" x14ac:dyDescent="0.25">
      <c r="B79" s="3" t="s">
        <v>125</v>
      </c>
      <c r="C79" s="3" t="str">
        <f t="shared" si="95"/>
        <v>Cham Longe 1 - Repowering</v>
      </c>
      <c r="D79" s="3" cm="1">
        <f t="array" ref="D79">VLOOKUP($C79,BD!$C:$X,BD!G$1-1,FALSE)</f>
        <v>35.35</v>
      </c>
      <c r="E79" s="39">
        <f>97100/D79</f>
        <v>2746.8175388967466</v>
      </c>
      <c r="F79" s="18">
        <f t="shared" si="143"/>
        <v>97100</v>
      </c>
      <c r="G79" s="2"/>
      <c r="H79" s="2"/>
      <c r="I79" s="30"/>
      <c r="J79" s="30"/>
      <c r="K79" s="2"/>
      <c r="L79" s="2"/>
      <c r="M79" s="2"/>
      <c r="N79" s="2"/>
      <c r="O79" s="2"/>
      <c r="P79" s="2"/>
      <c r="Q79" s="2"/>
      <c r="R79" s="2"/>
      <c r="S79" s="19">
        <f t="shared" si="44"/>
        <v>0.99999999999999989</v>
      </c>
      <c r="T79" s="34">
        <f>T80</f>
        <v>8.2417582417582416E-2</v>
      </c>
      <c r="U79" s="34">
        <f t="shared" ref="U79" si="144">U80</f>
        <v>6.7765567765567761E-2</v>
      </c>
      <c r="V79" s="34">
        <f t="shared" ref="V79" si="145">V80</f>
        <v>0.10989010989010989</v>
      </c>
      <c r="W79" s="34">
        <f t="shared" ref="W79" si="146">W80</f>
        <v>8.4249084249084255E-2</v>
      </c>
      <c r="X79" s="34">
        <f t="shared" ref="X79" si="147">X80</f>
        <v>8.9743589743589744E-2</v>
      </c>
      <c r="Y79" s="34">
        <f t="shared" ref="Y79" si="148">Y80</f>
        <v>7.1428571428571425E-2</v>
      </c>
      <c r="Z79" s="34">
        <f t="shared" ref="Z79" si="149">Z80</f>
        <v>6.5934065934065936E-2</v>
      </c>
      <c r="AA79" s="34">
        <f t="shared" ref="AA79" si="150">AA80</f>
        <v>7.5091575091575088E-2</v>
      </c>
      <c r="AB79" s="34">
        <f t="shared" ref="AB79" si="151">AB80</f>
        <v>7.8754578754578752E-2</v>
      </c>
      <c r="AC79" s="34">
        <f t="shared" ref="AC79" si="152">AC80</f>
        <v>0.10073260073260074</v>
      </c>
      <c r="AD79" s="34">
        <f t="shared" ref="AD79" si="153">AD80</f>
        <v>8.9743589743589744E-2</v>
      </c>
      <c r="AE79" s="34">
        <f t="shared" ref="AE79" si="154">AE80</f>
        <v>8.4249084249084255E-2</v>
      </c>
      <c r="AF79" s="16">
        <f t="shared" si="57"/>
        <v>8.2417582417582416E-2</v>
      </c>
      <c r="AG79" s="16">
        <f t="shared" si="58"/>
        <v>0.15018315018315018</v>
      </c>
      <c r="AH79" s="16">
        <f t="shared" si="59"/>
        <v>0.26007326007326004</v>
      </c>
      <c r="AI79" s="16">
        <f t="shared" si="60"/>
        <v>0.34432234432234432</v>
      </c>
      <c r="AJ79" s="16">
        <f t="shared" si="61"/>
        <v>0.43406593406593408</v>
      </c>
      <c r="AK79" s="16">
        <f t="shared" si="62"/>
        <v>0.50549450549450547</v>
      </c>
      <c r="AL79" s="16">
        <f t="shared" si="63"/>
        <v>0.5714285714285714</v>
      </c>
      <c r="AM79" s="16">
        <f t="shared" si="64"/>
        <v>0.64652014652014644</v>
      </c>
      <c r="AN79" s="16">
        <f t="shared" si="65"/>
        <v>0.72527472527472514</v>
      </c>
      <c r="AO79" s="16">
        <f t="shared" si="66"/>
        <v>0.82600732600732585</v>
      </c>
      <c r="AP79" s="16">
        <f t="shared" si="67"/>
        <v>0.91575091575091561</v>
      </c>
      <c r="AQ79" s="16">
        <f t="shared" si="68"/>
        <v>0.99999999999999989</v>
      </c>
    </row>
    <row r="80" spans="1:43" x14ac:dyDescent="0.25">
      <c r="B80" s="3" t="s">
        <v>119</v>
      </c>
      <c r="C80" s="3" t="str">
        <f t="shared" si="95"/>
        <v>Cham Longe 1 - off</v>
      </c>
      <c r="D80" s="3" cm="1">
        <f t="array" ref="D80">VLOOKUP($C80,BD!$C:$X,BD!G$1-1,FALSE)</f>
        <v>-18</v>
      </c>
      <c r="E80" s="18">
        <f>E9</f>
        <v>3033.3333333333335</v>
      </c>
      <c r="F80" s="18">
        <f t="shared" si="143"/>
        <v>-54600</v>
      </c>
      <c r="G80" s="2">
        <f>G9</f>
        <v>4500</v>
      </c>
      <c r="H80" s="2">
        <f t="shared" ref="H80:R80" si="155">H9</f>
        <v>3700</v>
      </c>
      <c r="I80" s="2">
        <f t="shared" si="155"/>
        <v>6000</v>
      </c>
      <c r="J80" s="2">
        <f t="shared" si="155"/>
        <v>4600</v>
      </c>
      <c r="K80" s="2">
        <f t="shared" si="155"/>
        <v>4900</v>
      </c>
      <c r="L80" s="2">
        <f t="shared" si="155"/>
        <v>3900</v>
      </c>
      <c r="M80" s="2">
        <f t="shared" si="155"/>
        <v>3600</v>
      </c>
      <c r="N80" s="2">
        <f t="shared" si="155"/>
        <v>4100</v>
      </c>
      <c r="O80" s="2">
        <f t="shared" si="155"/>
        <v>4300</v>
      </c>
      <c r="P80" s="2">
        <f t="shared" si="155"/>
        <v>5500</v>
      </c>
      <c r="Q80" s="2">
        <f t="shared" si="155"/>
        <v>4900</v>
      </c>
      <c r="R80" s="2">
        <f t="shared" si="155"/>
        <v>4600</v>
      </c>
      <c r="S80" s="19">
        <f t="shared" si="44"/>
        <v>0.99999999999999989</v>
      </c>
      <c r="T80" s="16">
        <f>T9</f>
        <v>8.2417582417582416E-2</v>
      </c>
      <c r="U80" s="16">
        <f t="shared" ref="U80:AE80" si="156">U9</f>
        <v>6.7765567765567761E-2</v>
      </c>
      <c r="V80" s="16">
        <f t="shared" si="156"/>
        <v>0.10989010989010989</v>
      </c>
      <c r="W80" s="16">
        <f t="shared" si="156"/>
        <v>8.4249084249084255E-2</v>
      </c>
      <c r="X80" s="16">
        <f t="shared" si="156"/>
        <v>8.9743589743589744E-2</v>
      </c>
      <c r="Y80" s="16">
        <f t="shared" si="156"/>
        <v>7.1428571428571425E-2</v>
      </c>
      <c r="Z80" s="16">
        <f t="shared" si="156"/>
        <v>6.5934065934065936E-2</v>
      </c>
      <c r="AA80" s="16">
        <f t="shared" si="156"/>
        <v>7.5091575091575088E-2</v>
      </c>
      <c r="AB80" s="16">
        <f t="shared" si="156"/>
        <v>7.8754578754578752E-2</v>
      </c>
      <c r="AC80" s="16">
        <f t="shared" si="156"/>
        <v>0.10073260073260074</v>
      </c>
      <c r="AD80" s="16">
        <f t="shared" si="156"/>
        <v>8.9743589743589744E-2</v>
      </c>
      <c r="AE80" s="16">
        <f t="shared" si="156"/>
        <v>8.4249084249084255E-2</v>
      </c>
      <c r="AF80" s="16">
        <f t="shared" si="57"/>
        <v>8.2417582417582416E-2</v>
      </c>
      <c r="AG80" s="16">
        <f t="shared" si="58"/>
        <v>0.15018315018315018</v>
      </c>
      <c r="AH80" s="16">
        <f t="shared" si="59"/>
        <v>0.26007326007326004</v>
      </c>
      <c r="AI80" s="16">
        <f t="shared" si="60"/>
        <v>0.34432234432234432</v>
      </c>
      <c r="AJ80" s="16">
        <f t="shared" si="61"/>
        <v>0.43406593406593408</v>
      </c>
      <c r="AK80" s="16">
        <f t="shared" si="62"/>
        <v>0.50549450549450547</v>
      </c>
      <c r="AL80" s="16">
        <f t="shared" si="63"/>
        <v>0.5714285714285714</v>
      </c>
      <c r="AM80" s="16">
        <f t="shared" si="64"/>
        <v>0.64652014652014644</v>
      </c>
      <c r="AN80" s="16">
        <f t="shared" si="65"/>
        <v>0.72527472527472514</v>
      </c>
      <c r="AO80" s="16">
        <f t="shared" si="66"/>
        <v>0.82600732600732585</v>
      </c>
      <c r="AP80" s="16">
        <f t="shared" si="67"/>
        <v>0.91575091575091561</v>
      </c>
      <c r="AQ80" s="16">
        <f t="shared" si="68"/>
        <v>0.99999999999999989</v>
      </c>
    </row>
    <row r="81" spans="1:43" x14ac:dyDescent="0.25">
      <c r="B81" s="3" t="s">
        <v>155</v>
      </c>
      <c r="C81" s="3" t="str">
        <f t="shared" si="95"/>
        <v>LML</v>
      </c>
      <c r="D81" s="3" cm="1">
        <f t="array" ref="D81">VLOOKUP($C81,BD!$C:$X,BD!G$1-1,FALSE)</f>
        <v>68</v>
      </c>
      <c r="E81" s="39">
        <v>2330</v>
      </c>
      <c r="F81" s="18">
        <f t="shared" si="143"/>
        <v>158440</v>
      </c>
      <c r="G81" s="2"/>
      <c r="H81" s="2"/>
      <c r="I81" s="30"/>
      <c r="J81" s="30"/>
      <c r="K81" s="2"/>
      <c r="L81" s="2"/>
      <c r="M81" s="2"/>
      <c r="N81" s="2"/>
      <c r="O81" s="2"/>
      <c r="P81" s="2"/>
      <c r="Q81" s="2"/>
      <c r="R81" s="2"/>
      <c r="S81" s="19">
        <f t="shared" si="44"/>
        <v>1.0002000000000002</v>
      </c>
      <c r="T81" s="40">
        <v>9.7299999999999998E-2</v>
      </c>
      <c r="U81" s="40">
        <v>9.4899999999999998E-2</v>
      </c>
      <c r="V81" s="40">
        <v>8.9200000000000002E-2</v>
      </c>
      <c r="W81" s="40">
        <v>8.0399999999999999E-2</v>
      </c>
      <c r="X81" s="40">
        <v>7.6899999999999996E-2</v>
      </c>
      <c r="Y81" s="40">
        <v>7.22E-2</v>
      </c>
      <c r="Z81" s="40">
        <v>7.17E-2</v>
      </c>
      <c r="AA81" s="40">
        <v>6.9500000000000006E-2</v>
      </c>
      <c r="AB81" s="40">
        <v>7.7200000000000005E-2</v>
      </c>
      <c r="AC81" s="40">
        <v>8.8300000000000003E-2</v>
      </c>
      <c r="AD81" s="40">
        <v>8.8400000000000006E-2</v>
      </c>
      <c r="AE81" s="40">
        <v>9.4200000000000006E-2</v>
      </c>
      <c r="AF81" s="16">
        <f t="shared" si="57"/>
        <v>9.7299999999999998E-2</v>
      </c>
      <c r="AG81" s="16">
        <f t="shared" si="58"/>
        <v>0.19219999999999998</v>
      </c>
      <c r="AH81" s="16">
        <f t="shared" si="59"/>
        <v>0.28139999999999998</v>
      </c>
      <c r="AI81" s="16">
        <f t="shared" si="60"/>
        <v>0.36180000000000001</v>
      </c>
      <c r="AJ81" s="16">
        <f t="shared" si="61"/>
        <v>0.43869999999999998</v>
      </c>
      <c r="AK81" s="16">
        <f t="shared" si="62"/>
        <v>0.51090000000000002</v>
      </c>
      <c r="AL81" s="16">
        <f t="shared" si="63"/>
        <v>0.58260000000000001</v>
      </c>
      <c r="AM81" s="16">
        <f t="shared" si="64"/>
        <v>0.65210000000000001</v>
      </c>
      <c r="AN81" s="16">
        <f t="shared" si="65"/>
        <v>0.72930000000000006</v>
      </c>
      <c r="AO81" s="16">
        <f t="shared" si="66"/>
        <v>0.8176000000000001</v>
      </c>
      <c r="AP81" s="16">
        <f t="shared" si="67"/>
        <v>0.90600000000000014</v>
      </c>
      <c r="AQ81" s="16">
        <f t="shared" si="68"/>
        <v>1.0002000000000002</v>
      </c>
    </row>
    <row r="82" spans="1:43" x14ac:dyDescent="0.25">
      <c r="B82" s="3" t="s">
        <v>126</v>
      </c>
      <c r="C82" s="3" t="str">
        <f t="shared" si="95"/>
        <v>Bazougeais</v>
      </c>
      <c r="D82" s="3" cm="1">
        <f t="array" ref="D82">VLOOKUP($C82,BD!$C:$X,BD!G$1-1,FALSE)</f>
        <v>12</v>
      </c>
      <c r="E82" s="39">
        <f>31900/D82</f>
        <v>2658.3333333333335</v>
      </c>
      <c r="F82" s="18">
        <f t="shared" si="143"/>
        <v>31900</v>
      </c>
      <c r="G82" s="2"/>
      <c r="H82" s="2"/>
      <c r="I82" s="30"/>
      <c r="J82" s="30"/>
      <c r="K82" s="2"/>
      <c r="L82" s="2"/>
      <c r="M82" s="2"/>
      <c r="N82" s="2"/>
      <c r="O82" s="2"/>
      <c r="P82" s="2"/>
      <c r="Q82" s="2"/>
      <c r="R82" s="2"/>
      <c r="S82" s="19">
        <f t="shared" si="44"/>
        <v>0.99999999999999989</v>
      </c>
      <c r="T82" s="40">
        <v>0.11282121295912254</v>
      </c>
      <c r="U82" s="40">
        <v>0.1094907599428545</v>
      </c>
      <c r="V82" s="40">
        <v>9.6995483662841608E-2</v>
      </c>
      <c r="W82" s="40">
        <v>7.604037052398728E-2</v>
      </c>
      <c r="X82" s="40">
        <v>7.0813747177289291E-2</v>
      </c>
      <c r="Y82" s="40">
        <v>5.6665399327157938E-2</v>
      </c>
      <c r="Z82" s="40">
        <v>5.5984722798285633E-2</v>
      </c>
      <c r="AA82" s="40">
        <v>5.5547145029724874E-2</v>
      </c>
      <c r="AB82" s="40">
        <v>6.3812502880317062E-2</v>
      </c>
      <c r="AC82" s="40">
        <v>8.6712406101663669E-2</v>
      </c>
      <c r="AD82" s="40">
        <v>0.10499343287709112</v>
      </c>
      <c r="AE82" s="40">
        <v>0.11012281671966452</v>
      </c>
      <c r="AF82" s="16">
        <f t="shared" si="57"/>
        <v>0.11282121295912254</v>
      </c>
      <c r="AG82" s="16">
        <f t="shared" si="58"/>
        <v>0.22231197290197702</v>
      </c>
      <c r="AH82" s="16">
        <f t="shared" si="59"/>
        <v>0.31930745656481863</v>
      </c>
      <c r="AI82" s="16">
        <f t="shared" si="60"/>
        <v>0.39534782708880589</v>
      </c>
      <c r="AJ82" s="16">
        <f t="shared" si="61"/>
        <v>0.46616157426609517</v>
      </c>
      <c r="AK82" s="16">
        <f t="shared" si="62"/>
        <v>0.52282697359325314</v>
      </c>
      <c r="AL82" s="16">
        <f t="shared" si="63"/>
        <v>0.57881169639153873</v>
      </c>
      <c r="AM82" s="16">
        <f t="shared" si="64"/>
        <v>0.63435884142126364</v>
      </c>
      <c r="AN82" s="16">
        <f t="shared" si="65"/>
        <v>0.69817134430158068</v>
      </c>
      <c r="AO82" s="16">
        <f t="shared" si="66"/>
        <v>0.78488375040324432</v>
      </c>
      <c r="AP82" s="16">
        <f t="shared" si="67"/>
        <v>0.88987718328033538</v>
      </c>
      <c r="AQ82" s="16">
        <f t="shared" si="68"/>
        <v>0.99999999999999989</v>
      </c>
    </row>
    <row r="83" spans="1:43" x14ac:dyDescent="0.25">
      <c r="B83" s="3" t="s">
        <v>156</v>
      </c>
      <c r="C83" s="3" t="str">
        <f t="shared" si="95"/>
        <v>Michelin</v>
      </c>
      <c r="D83" s="3" cm="1">
        <f t="array" ref="D83">VLOOKUP($C83,BD!$C:$X,BD!G$1-1,FALSE)</f>
        <v>106</v>
      </c>
      <c r="E83" s="39">
        <f>158300/D83</f>
        <v>1493.3962264150944</v>
      </c>
      <c r="F83" s="18">
        <f t="shared" si="143"/>
        <v>158300</v>
      </c>
      <c r="G83" s="2"/>
      <c r="H83" s="2"/>
      <c r="I83" s="30"/>
      <c r="J83" s="30"/>
      <c r="K83" s="2"/>
      <c r="L83" s="2"/>
      <c r="M83" s="2"/>
      <c r="N83" s="2"/>
      <c r="O83" s="2"/>
      <c r="P83" s="2"/>
      <c r="Q83" s="2"/>
      <c r="R83" s="2"/>
      <c r="S83" s="19">
        <f t="shared" si="44"/>
        <v>0.99999999999999978</v>
      </c>
      <c r="T83" s="40">
        <v>4.1514628381738014E-2</v>
      </c>
      <c r="U83" s="40">
        <v>6.8117149992299189E-2</v>
      </c>
      <c r="V83" s="40">
        <v>8.5984695582480675E-2</v>
      </c>
      <c r="W83" s="40">
        <v>9.8321015382994634E-2</v>
      </c>
      <c r="X83" s="40">
        <v>0.10931458240672083</v>
      </c>
      <c r="Y83" s="40">
        <v>0.12269921722675406</v>
      </c>
      <c r="Z83" s="40">
        <v>0.12177045982883401</v>
      </c>
      <c r="AA83" s="40">
        <v>0.10994417358754333</v>
      </c>
      <c r="AB83" s="40">
        <v>9.5125851531624492E-2</v>
      </c>
      <c r="AC83" s="40">
        <v>6.5157020214446457E-2</v>
      </c>
      <c r="AD83" s="40">
        <v>4.5874321546498828E-2</v>
      </c>
      <c r="AE83" s="40">
        <v>3.6176884318065324E-2</v>
      </c>
      <c r="AF83" s="16">
        <f t="shared" si="57"/>
        <v>4.1514628381738014E-2</v>
      </c>
      <c r="AG83" s="16">
        <f t="shared" si="58"/>
        <v>0.1096317783740372</v>
      </c>
      <c r="AH83" s="16">
        <f t="shared" si="59"/>
        <v>0.19561647395651788</v>
      </c>
      <c r="AI83" s="16">
        <f t="shared" si="60"/>
        <v>0.29393748933951253</v>
      </c>
      <c r="AJ83" s="16">
        <f t="shared" si="61"/>
        <v>0.40325207174623334</v>
      </c>
      <c r="AK83" s="16">
        <f t="shared" si="62"/>
        <v>0.52595128897298737</v>
      </c>
      <c r="AL83" s="16">
        <f t="shared" si="63"/>
        <v>0.64772174880182143</v>
      </c>
      <c r="AM83" s="16">
        <f t="shared" si="64"/>
        <v>0.7576659223893647</v>
      </c>
      <c r="AN83" s="16">
        <f t="shared" si="65"/>
        <v>0.85279177392098915</v>
      </c>
      <c r="AO83" s="16">
        <f t="shared" si="66"/>
        <v>0.91794879413543562</v>
      </c>
      <c r="AP83" s="16">
        <f t="shared" si="67"/>
        <v>0.96382311568193446</v>
      </c>
      <c r="AQ83" s="16">
        <f t="shared" si="68"/>
        <v>0.99999999999999978</v>
      </c>
    </row>
    <row r="84" spans="1:43" x14ac:dyDescent="0.25">
      <c r="B84" s="3" t="s">
        <v>128</v>
      </c>
      <c r="C84" s="3" t="str">
        <f t="shared" si="95"/>
        <v>Peyrolles</v>
      </c>
      <c r="D84" s="3" cm="1">
        <f t="array" ref="D84">VLOOKUP($C84,BD!$C:$X,BD!G$1-1,FALSE)</f>
        <v>14.66</v>
      </c>
      <c r="E84" s="39">
        <f>22180/D84</f>
        <v>1512.9604365620737</v>
      </c>
      <c r="F84" s="18">
        <f t="shared" si="143"/>
        <v>22180</v>
      </c>
      <c r="G84" s="2"/>
      <c r="H84" s="2"/>
      <c r="I84" s="30"/>
      <c r="J84" s="30"/>
      <c r="K84" s="2"/>
      <c r="L84" s="2"/>
      <c r="M84" s="2"/>
      <c r="N84" s="2"/>
      <c r="O84" s="2"/>
      <c r="P84" s="2"/>
      <c r="Q84" s="2"/>
      <c r="R84" s="2"/>
      <c r="S84" s="19">
        <f t="shared" si="44"/>
        <v>1</v>
      </c>
      <c r="T84" s="40">
        <v>3.7795013620399096E-2</v>
      </c>
      <c r="U84" s="40">
        <v>6.6850737695024504E-2</v>
      </c>
      <c r="V84" s="40">
        <v>8.7267842101131934E-2</v>
      </c>
      <c r="W84" s="40">
        <v>9.8943031954580873E-2</v>
      </c>
      <c r="X84" s="40">
        <v>0.11259233861849459</v>
      </c>
      <c r="Y84" s="40">
        <v>0.12646490389659681</v>
      </c>
      <c r="Z84" s="40">
        <v>0.12413045209831562</v>
      </c>
      <c r="AA84" s="40">
        <v>0.11286473566816468</v>
      </c>
      <c r="AB84" s="40">
        <v>9.4494470372232173E-2</v>
      </c>
      <c r="AC84" s="40">
        <v>6.4538218938273426E-2</v>
      </c>
      <c r="AD84" s="40">
        <v>4.2611769391439888E-2</v>
      </c>
      <c r="AE84" s="40">
        <v>3.1446485645346418E-2</v>
      </c>
      <c r="AF84" s="16">
        <f t="shared" si="57"/>
        <v>3.7795013620399096E-2</v>
      </c>
      <c r="AG84" s="16">
        <f t="shared" si="58"/>
        <v>0.1046457513154236</v>
      </c>
      <c r="AH84" s="16">
        <f t="shared" si="59"/>
        <v>0.19191359341655553</v>
      </c>
      <c r="AI84" s="16">
        <f t="shared" si="60"/>
        <v>0.29085662537113643</v>
      </c>
      <c r="AJ84" s="16">
        <f t="shared" si="61"/>
        <v>0.40344896398963104</v>
      </c>
      <c r="AK84" s="16">
        <f t="shared" si="62"/>
        <v>0.52991386788622785</v>
      </c>
      <c r="AL84" s="16">
        <f t="shared" si="63"/>
        <v>0.65404431998454349</v>
      </c>
      <c r="AM84" s="16">
        <f t="shared" si="64"/>
        <v>0.76690905565270817</v>
      </c>
      <c r="AN84" s="16">
        <f t="shared" si="65"/>
        <v>0.8614035260249403</v>
      </c>
      <c r="AO84" s="16">
        <f t="shared" si="66"/>
        <v>0.92594174496321369</v>
      </c>
      <c r="AP84" s="16">
        <f t="shared" si="67"/>
        <v>0.96855351435465353</v>
      </c>
      <c r="AQ84" s="16">
        <f t="shared" si="68"/>
        <v>1</v>
      </c>
    </row>
    <row r="85" spans="1:43" x14ac:dyDescent="0.25">
      <c r="B85" s="3" t="s">
        <v>129</v>
      </c>
      <c r="C85" s="3" t="str">
        <f t="shared" si="95"/>
        <v>La Clé des Champs</v>
      </c>
      <c r="D85" s="3" cm="1">
        <f t="array" ref="D85">VLOOKUP($C85,BD!$C:$X,BD!G$1-1,FALSE)</f>
        <v>12.53</v>
      </c>
      <c r="E85" s="39">
        <f>17710/D85</f>
        <v>1413.4078212290503</v>
      </c>
      <c r="F85" s="18">
        <f t="shared" si="143"/>
        <v>17710</v>
      </c>
      <c r="G85" s="2"/>
      <c r="H85" s="2"/>
      <c r="I85" s="30"/>
      <c r="J85" s="30"/>
      <c r="K85" s="2"/>
      <c r="L85" s="2"/>
      <c r="M85" s="2"/>
      <c r="N85" s="2"/>
      <c r="O85" s="2"/>
      <c r="P85" s="2"/>
      <c r="Q85" s="2"/>
      <c r="R85" s="2"/>
      <c r="S85" s="19">
        <f t="shared" ref="S85:S112" si="157">SUM(T85:AE85)</f>
        <v>0.99999999999999989</v>
      </c>
      <c r="T85" s="40">
        <v>3.0994665164329124E-2</v>
      </c>
      <c r="U85" s="40">
        <v>5.2653298444461032E-2</v>
      </c>
      <c r="V85" s="40">
        <v>9.2051867890497033E-2</v>
      </c>
      <c r="W85" s="40">
        <v>0.1169015079596671</v>
      </c>
      <c r="X85" s="40">
        <v>0.13095779013687633</v>
      </c>
      <c r="Y85" s="40">
        <v>0.11601609331951861</v>
      </c>
      <c r="Z85" s="40">
        <v>0.13848065150012942</v>
      </c>
      <c r="AA85" s="40">
        <v>0.13106504249992657</v>
      </c>
      <c r="AB85" s="40">
        <v>7.7109930710794014E-2</v>
      </c>
      <c r="AC85" s="40">
        <v>6.4130335657640952E-2</v>
      </c>
      <c r="AD85" s="40">
        <v>2.5570131616911795E-2</v>
      </c>
      <c r="AE85" s="40">
        <v>2.4068685099248015E-2</v>
      </c>
      <c r="AF85" s="16">
        <f t="shared" ref="AF85:AF112" si="158">T85</f>
        <v>3.0994665164329124E-2</v>
      </c>
      <c r="AG85" s="16">
        <f t="shared" ref="AG85:AG112" si="159">AF85+U85</f>
        <v>8.3647963608790149E-2</v>
      </c>
      <c r="AH85" s="16">
        <f t="shared" ref="AH85:AH112" si="160">AG85+V85</f>
        <v>0.1756998314992872</v>
      </c>
      <c r="AI85" s="16">
        <f t="shared" ref="AI85:AI112" si="161">AH85+W85</f>
        <v>0.29260133945895428</v>
      </c>
      <c r="AJ85" s="16">
        <f t="shared" ref="AJ85:AJ112" si="162">AI85+X85</f>
        <v>0.42355912959583064</v>
      </c>
      <c r="AK85" s="16">
        <f t="shared" ref="AK85:AK112" si="163">AJ85+Y85</f>
        <v>0.53957522291534921</v>
      </c>
      <c r="AL85" s="16">
        <f t="shared" ref="AL85:AL112" si="164">AK85+Z85</f>
        <v>0.67805587441547865</v>
      </c>
      <c r="AM85" s="16">
        <f t="shared" ref="AM85:AM112" si="165">AL85+AA85</f>
        <v>0.80912091691540522</v>
      </c>
      <c r="AN85" s="16">
        <f t="shared" ref="AN85:AN112" si="166">AM85+AB85</f>
        <v>0.88623084762619919</v>
      </c>
      <c r="AO85" s="16">
        <f t="shared" ref="AO85:AO112" si="167">AN85+AC85</f>
        <v>0.95036118328384012</v>
      </c>
      <c r="AP85" s="16">
        <f t="shared" ref="AP85:AP112" si="168">AO85+AD85</f>
        <v>0.97593131490075191</v>
      </c>
      <c r="AQ85" s="16">
        <f t="shared" ref="AQ85:AQ112" si="169">AP85+AE85</f>
        <v>0.99999999999999989</v>
      </c>
    </row>
    <row r="86" spans="1:43" x14ac:dyDescent="0.25">
      <c r="B86" s="3" t="s">
        <v>150</v>
      </c>
      <c r="C86" s="3" t="str">
        <f t="shared" si="95"/>
        <v>COD autres éolien 2024</v>
      </c>
      <c r="D86" s="3" cm="1">
        <f t="array" ref="D86">VLOOKUP($C86,BD!$C:$X,BD!G$1-1,FALSE)</f>
        <v>152.6</v>
      </c>
      <c r="E86" s="39">
        <v>2200</v>
      </c>
      <c r="F86" s="18">
        <f t="shared" si="143"/>
        <v>335720</v>
      </c>
      <c r="G86" s="2"/>
      <c r="H86" s="2"/>
      <c r="I86" s="2"/>
      <c r="J86" s="30"/>
      <c r="K86" s="2"/>
      <c r="L86" s="2"/>
      <c r="M86" s="2"/>
      <c r="N86" s="2"/>
      <c r="O86" s="2"/>
      <c r="P86" s="2"/>
      <c r="Q86" s="2"/>
      <c r="R86" s="2"/>
      <c r="S86" s="19">
        <f t="shared" si="157"/>
        <v>1.0002000000000002</v>
      </c>
      <c r="T86" s="40">
        <v>9.7299999999999998E-2</v>
      </c>
      <c r="U86" s="40">
        <v>9.4899999999999998E-2</v>
      </c>
      <c r="V86" s="40">
        <v>8.9200000000000002E-2</v>
      </c>
      <c r="W86" s="40">
        <v>8.0399999999999999E-2</v>
      </c>
      <c r="X86" s="40">
        <v>7.6899999999999996E-2</v>
      </c>
      <c r="Y86" s="40">
        <v>7.22E-2</v>
      </c>
      <c r="Z86" s="40">
        <v>7.17E-2</v>
      </c>
      <c r="AA86" s="40">
        <v>6.9500000000000006E-2</v>
      </c>
      <c r="AB86" s="40">
        <v>7.7200000000000005E-2</v>
      </c>
      <c r="AC86" s="40">
        <v>8.8300000000000003E-2</v>
      </c>
      <c r="AD86" s="40">
        <v>8.8400000000000006E-2</v>
      </c>
      <c r="AE86" s="40">
        <v>9.4200000000000006E-2</v>
      </c>
      <c r="AF86" s="16">
        <f t="shared" si="158"/>
        <v>9.7299999999999998E-2</v>
      </c>
      <c r="AG86" s="16">
        <f t="shared" si="159"/>
        <v>0.19219999999999998</v>
      </c>
      <c r="AH86" s="16">
        <f t="shared" si="160"/>
        <v>0.28139999999999998</v>
      </c>
      <c r="AI86" s="16">
        <f t="shared" si="161"/>
        <v>0.36180000000000001</v>
      </c>
      <c r="AJ86" s="16">
        <f t="shared" si="162"/>
        <v>0.43869999999999998</v>
      </c>
      <c r="AK86" s="16">
        <f t="shared" si="163"/>
        <v>0.51090000000000002</v>
      </c>
      <c r="AL86" s="16">
        <f t="shared" si="164"/>
        <v>0.58260000000000001</v>
      </c>
      <c r="AM86" s="16">
        <f t="shared" si="165"/>
        <v>0.65210000000000001</v>
      </c>
      <c r="AN86" s="16">
        <f t="shared" si="166"/>
        <v>0.72930000000000006</v>
      </c>
      <c r="AO86" s="16">
        <f t="shared" si="167"/>
        <v>0.8176000000000001</v>
      </c>
      <c r="AP86" s="16">
        <f t="shared" si="168"/>
        <v>0.90600000000000014</v>
      </c>
      <c r="AQ86" s="16">
        <f t="shared" si="169"/>
        <v>1.0002000000000002</v>
      </c>
    </row>
    <row r="87" spans="1:43" x14ac:dyDescent="0.25">
      <c r="B87" s="3" t="s">
        <v>153</v>
      </c>
      <c r="C87" s="3" t="str">
        <f t="shared" si="95"/>
        <v>COD autres éolien 2025</v>
      </c>
      <c r="D87" s="3" cm="1">
        <f t="array" ref="D87">VLOOKUP($C87,BD!$C:$X,BD!G$1-1,FALSE)</f>
        <v>205.1</v>
      </c>
      <c r="E87" s="39">
        <v>2200</v>
      </c>
      <c r="F87" s="18">
        <f t="shared" si="143"/>
        <v>451220</v>
      </c>
      <c r="G87" s="2"/>
      <c r="H87" s="2"/>
      <c r="I87" s="2"/>
      <c r="J87" s="30"/>
      <c r="K87" s="2"/>
      <c r="L87" s="2"/>
      <c r="M87" s="2"/>
      <c r="N87" s="2"/>
      <c r="O87" s="2"/>
      <c r="P87" s="2"/>
      <c r="Q87" s="2"/>
      <c r="R87" s="2"/>
      <c r="S87" s="19">
        <f t="shared" si="157"/>
        <v>1.0002000000000002</v>
      </c>
      <c r="T87" s="40">
        <v>9.7299999999999998E-2</v>
      </c>
      <c r="U87" s="40">
        <v>9.4899999999999998E-2</v>
      </c>
      <c r="V87" s="40">
        <v>8.9200000000000002E-2</v>
      </c>
      <c r="W87" s="40">
        <v>8.0399999999999999E-2</v>
      </c>
      <c r="X87" s="40">
        <v>7.6899999999999996E-2</v>
      </c>
      <c r="Y87" s="40">
        <v>7.22E-2</v>
      </c>
      <c r="Z87" s="40">
        <v>7.17E-2</v>
      </c>
      <c r="AA87" s="40">
        <v>6.9500000000000006E-2</v>
      </c>
      <c r="AB87" s="40">
        <v>7.7200000000000005E-2</v>
      </c>
      <c r="AC87" s="40">
        <v>8.8300000000000003E-2</v>
      </c>
      <c r="AD87" s="40">
        <v>8.8400000000000006E-2</v>
      </c>
      <c r="AE87" s="40">
        <v>9.4200000000000006E-2</v>
      </c>
      <c r="AF87" s="16">
        <f t="shared" si="158"/>
        <v>9.7299999999999998E-2</v>
      </c>
      <c r="AG87" s="16">
        <f t="shared" si="159"/>
        <v>0.19219999999999998</v>
      </c>
      <c r="AH87" s="16">
        <f t="shared" si="160"/>
        <v>0.28139999999999998</v>
      </c>
      <c r="AI87" s="16">
        <f t="shared" si="161"/>
        <v>0.36180000000000001</v>
      </c>
      <c r="AJ87" s="16">
        <f t="shared" si="162"/>
        <v>0.43869999999999998</v>
      </c>
      <c r="AK87" s="16">
        <f t="shared" si="163"/>
        <v>0.51090000000000002</v>
      </c>
      <c r="AL87" s="16">
        <f t="shared" si="164"/>
        <v>0.58260000000000001</v>
      </c>
      <c r="AM87" s="16">
        <f t="shared" si="165"/>
        <v>0.65210000000000001</v>
      </c>
      <c r="AN87" s="16">
        <f t="shared" si="166"/>
        <v>0.72930000000000006</v>
      </c>
      <c r="AO87" s="16">
        <f t="shared" si="167"/>
        <v>0.8176000000000001</v>
      </c>
      <c r="AP87" s="16">
        <f t="shared" si="168"/>
        <v>0.90600000000000014</v>
      </c>
      <c r="AQ87" s="16">
        <f t="shared" si="169"/>
        <v>1.0002000000000002</v>
      </c>
    </row>
    <row r="88" spans="1:43" x14ac:dyDescent="0.25">
      <c r="B88" s="3" t="s">
        <v>151</v>
      </c>
      <c r="C88" s="3" t="str">
        <f t="shared" ref="C88" si="170">B88</f>
        <v>COD autres PV 2024</v>
      </c>
      <c r="D88" s="3" cm="1">
        <f t="array" ref="D88">VLOOKUP($C88,BD!$C:$X,BD!G$1-1,FALSE)</f>
        <v>134</v>
      </c>
      <c r="E88" s="39">
        <v>1200</v>
      </c>
      <c r="F88" s="18">
        <f t="shared" ref="F88" si="171">D88*E88</f>
        <v>160800</v>
      </c>
      <c r="G88" s="2"/>
      <c r="H88" s="2"/>
      <c r="I88" s="30"/>
      <c r="J88" s="30"/>
      <c r="K88" s="2"/>
      <c r="L88" s="2"/>
      <c r="M88" s="2"/>
      <c r="N88" s="2"/>
      <c r="O88" s="2"/>
      <c r="P88" s="2"/>
      <c r="Q88" s="2"/>
      <c r="R88" s="2"/>
      <c r="S88" s="19">
        <f t="shared" ref="S88" si="172">SUM(T88:AE88)</f>
        <v>1</v>
      </c>
      <c r="T88" s="40">
        <v>5.1089602222872323E-2</v>
      </c>
      <c r="U88" s="40">
        <v>7.0568575737054925E-2</v>
      </c>
      <c r="V88" s="40">
        <v>9.0212990614773184E-2</v>
      </c>
      <c r="W88" s="40">
        <v>9.4787923898256396E-2</v>
      </c>
      <c r="X88" s="40">
        <v>0.10303602049582489</v>
      </c>
      <c r="Y88" s="40">
        <v>0.10866642115678625</v>
      </c>
      <c r="Z88" s="40">
        <v>0.11319669649494424</v>
      </c>
      <c r="AA88" s="40">
        <v>0.10681204788687178</v>
      </c>
      <c r="AB88" s="40">
        <v>9.3317207839239372E-2</v>
      </c>
      <c r="AC88" s="40">
        <v>7.1904201999652695E-2</v>
      </c>
      <c r="AD88" s="40">
        <v>5.1956762676940133E-2</v>
      </c>
      <c r="AE88" s="40">
        <v>4.4451548976783849E-2</v>
      </c>
      <c r="AF88" s="16">
        <f t="shared" ref="AF88" si="173">T88</f>
        <v>5.1089602222872323E-2</v>
      </c>
      <c r="AG88" s="16">
        <f t="shared" ref="AG88" si="174">AF88+U88</f>
        <v>0.12165817795992726</v>
      </c>
      <c r="AH88" s="16">
        <f t="shared" ref="AH88" si="175">AG88+V88</f>
        <v>0.21187116857470045</v>
      </c>
      <c r="AI88" s="16">
        <f t="shared" ref="AI88" si="176">AH88+W88</f>
        <v>0.30665909247295686</v>
      </c>
      <c r="AJ88" s="16">
        <f t="shared" ref="AJ88" si="177">AI88+X88</f>
        <v>0.40969511296878175</v>
      </c>
      <c r="AK88" s="16">
        <f t="shared" ref="AK88" si="178">AJ88+Y88</f>
        <v>0.51836153412556796</v>
      </c>
      <c r="AL88" s="16">
        <f t="shared" ref="AL88" si="179">AK88+Z88</f>
        <v>0.6315582306205122</v>
      </c>
      <c r="AM88" s="16">
        <f t="shared" ref="AM88" si="180">AL88+AA88</f>
        <v>0.73837027850738401</v>
      </c>
      <c r="AN88" s="16">
        <f t="shared" ref="AN88" si="181">AM88+AB88</f>
        <v>0.83168748634662337</v>
      </c>
      <c r="AO88" s="16">
        <f t="shared" ref="AO88" si="182">AN88+AC88</f>
        <v>0.90359168834627601</v>
      </c>
      <c r="AP88" s="16">
        <f t="shared" ref="AP88" si="183">AO88+AD88</f>
        <v>0.95554845102321617</v>
      </c>
      <c r="AQ88" s="16">
        <f t="shared" ref="AQ88" si="184">AP88+AE88</f>
        <v>1</v>
      </c>
    </row>
    <row r="89" spans="1:43" x14ac:dyDescent="0.25">
      <c r="B89" s="3" t="s">
        <v>154</v>
      </c>
      <c r="C89" s="3" t="str">
        <f t="shared" ref="C89" si="185">B89</f>
        <v>COD autres PV 2025</v>
      </c>
      <c r="D89" s="3" cm="1">
        <f t="array" ref="D89">VLOOKUP($C89,BD!$C:$X,BD!G$1-1,FALSE)</f>
        <v>180</v>
      </c>
      <c r="E89" s="39">
        <v>1200</v>
      </c>
      <c r="F89" s="18">
        <f t="shared" ref="F89" si="186">D89*E89</f>
        <v>216000</v>
      </c>
      <c r="G89" s="2"/>
      <c r="H89" s="2"/>
      <c r="I89" s="30"/>
      <c r="J89" s="30"/>
      <c r="K89" s="2"/>
      <c r="L89" s="2"/>
      <c r="M89" s="2"/>
      <c r="N89" s="2"/>
      <c r="O89" s="2"/>
      <c r="P89" s="2"/>
      <c r="Q89" s="2"/>
      <c r="R89" s="2"/>
      <c r="S89" s="19">
        <f t="shared" ref="S89" si="187">SUM(T89:AE89)</f>
        <v>1</v>
      </c>
      <c r="T89" s="40">
        <v>5.1089602222872323E-2</v>
      </c>
      <c r="U89" s="40">
        <v>7.0568575737054925E-2</v>
      </c>
      <c r="V89" s="40">
        <v>9.0212990614773184E-2</v>
      </c>
      <c r="W89" s="40">
        <v>9.4787923898256396E-2</v>
      </c>
      <c r="X89" s="40">
        <v>0.10303602049582489</v>
      </c>
      <c r="Y89" s="40">
        <v>0.10866642115678625</v>
      </c>
      <c r="Z89" s="40">
        <v>0.11319669649494424</v>
      </c>
      <c r="AA89" s="40">
        <v>0.10681204788687178</v>
      </c>
      <c r="AB89" s="40">
        <v>9.3317207839239372E-2</v>
      </c>
      <c r="AC89" s="40">
        <v>7.1904201999652695E-2</v>
      </c>
      <c r="AD89" s="40">
        <v>5.1956762676940133E-2</v>
      </c>
      <c r="AE89" s="40">
        <v>4.4451548976783849E-2</v>
      </c>
      <c r="AF89" s="16">
        <f t="shared" ref="AF89" si="188">T89</f>
        <v>5.1089602222872323E-2</v>
      </c>
      <c r="AG89" s="16">
        <f t="shared" ref="AG89" si="189">AF89+U89</f>
        <v>0.12165817795992726</v>
      </c>
      <c r="AH89" s="16">
        <f t="shared" ref="AH89" si="190">AG89+V89</f>
        <v>0.21187116857470045</v>
      </c>
      <c r="AI89" s="16">
        <f t="shared" ref="AI89" si="191">AH89+W89</f>
        <v>0.30665909247295686</v>
      </c>
      <c r="AJ89" s="16">
        <f t="shared" ref="AJ89" si="192">AI89+X89</f>
        <v>0.40969511296878175</v>
      </c>
      <c r="AK89" s="16">
        <f t="shared" ref="AK89" si="193">AJ89+Y89</f>
        <v>0.51836153412556796</v>
      </c>
      <c r="AL89" s="16">
        <f t="shared" ref="AL89" si="194">AK89+Z89</f>
        <v>0.6315582306205122</v>
      </c>
      <c r="AM89" s="16">
        <f t="shared" ref="AM89" si="195">AL89+AA89</f>
        <v>0.73837027850738401</v>
      </c>
      <c r="AN89" s="16">
        <f t="shared" ref="AN89" si="196">AM89+AB89</f>
        <v>0.83168748634662337</v>
      </c>
      <c r="AO89" s="16">
        <f t="shared" ref="AO89" si="197">AN89+AC89</f>
        <v>0.90359168834627601</v>
      </c>
      <c r="AP89" s="16">
        <f t="shared" ref="AP89" si="198">AO89+AD89</f>
        <v>0.95554845102321617</v>
      </c>
      <c r="AQ89" s="16">
        <f t="shared" ref="AQ89" si="199">AP89+AE89</f>
        <v>1</v>
      </c>
    </row>
    <row r="90" spans="1:43" x14ac:dyDescent="0.25">
      <c r="B90" s="3" t="s">
        <v>124</v>
      </c>
      <c r="C90" s="3" t="s">
        <v>124</v>
      </c>
      <c r="D90" s="3" cm="1">
        <f t="array" ref="D90">VLOOKUP($C90,BD!$C:$X,BD!G$1-1,FALSE)</f>
        <v>17.25</v>
      </c>
      <c r="E90" s="39">
        <f>45700/D90</f>
        <v>2649.2753623188405</v>
      </c>
      <c r="F90" s="18">
        <f t="shared" si="143"/>
        <v>45700</v>
      </c>
      <c r="G90" s="2"/>
      <c r="H90" s="2"/>
      <c r="I90" s="2"/>
      <c r="J90" s="30"/>
      <c r="K90" s="2"/>
      <c r="L90" s="2"/>
      <c r="M90" s="2"/>
      <c r="N90" s="2"/>
      <c r="O90" s="2"/>
      <c r="P90" s="2"/>
      <c r="Q90" s="2"/>
      <c r="R90" s="2"/>
      <c r="S90" s="19">
        <f t="shared" si="157"/>
        <v>1</v>
      </c>
      <c r="T90" s="40">
        <v>0.11499282324961732</v>
      </c>
      <c r="U90" s="40">
        <v>0.10390588913447626</v>
      </c>
      <c r="V90" s="40">
        <v>9.1736716331306298E-2</v>
      </c>
      <c r="W90" s="40">
        <v>7.6176528972312252E-2</v>
      </c>
      <c r="X90" s="40">
        <v>7.0140042067972988E-2</v>
      </c>
      <c r="Y90" s="40">
        <v>5.9678401417026461E-2</v>
      </c>
      <c r="Z90" s="40">
        <v>5.6046889374973763E-2</v>
      </c>
      <c r="AA90" s="40">
        <v>5.5541844653893592E-2</v>
      </c>
      <c r="AB90" s="40">
        <v>6.9586897849647084E-2</v>
      </c>
      <c r="AC90" s="40">
        <v>9.2867054516580977E-2</v>
      </c>
      <c r="AD90" s="40">
        <v>9.7821302732891274E-2</v>
      </c>
      <c r="AE90" s="40">
        <v>0.11150560969930182</v>
      </c>
      <c r="AF90" s="16">
        <f t="shared" si="158"/>
        <v>0.11499282324961732</v>
      </c>
      <c r="AG90" s="16">
        <f t="shared" si="159"/>
        <v>0.21889871238409359</v>
      </c>
      <c r="AH90" s="16">
        <f t="shared" si="160"/>
        <v>0.3106354287153999</v>
      </c>
      <c r="AI90" s="16">
        <f t="shared" si="161"/>
        <v>0.38681195768771215</v>
      </c>
      <c r="AJ90" s="16">
        <f t="shared" si="162"/>
        <v>0.45695199975568512</v>
      </c>
      <c r="AK90" s="16">
        <f t="shared" si="163"/>
        <v>0.51663040117271164</v>
      </c>
      <c r="AL90" s="16">
        <f t="shared" si="164"/>
        <v>0.57267729054768535</v>
      </c>
      <c r="AM90" s="16">
        <f t="shared" si="165"/>
        <v>0.6282191352015789</v>
      </c>
      <c r="AN90" s="16">
        <f t="shared" si="166"/>
        <v>0.69780603305122602</v>
      </c>
      <c r="AO90" s="16">
        <f t="shared" si="167"/>
        <v>0.79067308756780696</v>
      </c>
      <c r="AP90" s="16">
        <f t="shared" si="168"/>
        <v>0.88849439030069821</v>
      </c>
      <c r="AQ90" s="16">
        <f t="shared" si="169"/>
        <v>1</v>
      </c>
    </row>
    <row r="91" spans="1:43" x14ac:dyDescent="0.25">
      <c r="B91" s="3" t="s">
        <v>127</v>
      </c>
      <c r="C91" s="3" t="s">
        <v>127</v>
      </c>
      <c r="D91" s="3" cm="1">
        <f t="array" ref="D91">VLOOKUP($C91,BD!$C:$X,BD!G$1-1,FALSE)</f>
        <v>13.8</v>
      </c>
      <c r="E91" s="39">
        <f>40100/D91</f>
        <v>2905.797101449275</v>
      </c>
      <c r="F91" s="18">
        <f t="shared" si="143"/>
        <v>40100</v>
      </c>
      <c r="G91" s="2"/>
      <c r="H91" s="2"/>
      <c r="I91" s="2"/>
      <c r="J91" s="30"/>
      <c r="K91" s="2"/>
      <c r="L91" s="2"/>
      <c r="M91" s="2"/>
      <c r="N91" s="2"/>
      <c r="O91" s="2"/>
      <c r="P91" s="2"/>
      <c r="Q91" s="2"/>
      <c r="R91" s="2"/>
      <c r="S91" s="19">
        <f t="shared" si="157"/>
        <v>1</v>
      </c>
      <c r="T91" s="40">
        <v>0.11072292227266801</v>
      </c>
      <c r="U91" s="40">
        <v>0.10015973399400183</v>
      </c>
      <c r="V91" s="40">
        <v>9.353803387901706E-2</v>
      </c>
      <c r="W91" s="40">
        <v>6.9776490949394851E-2</v>
      </c>
      <c r="X91" s="40">
        <v>7.1871110373522701E-2</v>
      </c>
      <c r="Y91" s="40">
        <v>6.0542147251626974E-2</v>
      </c>
      <c r="Z91" s="40">
        <v>6.1082694199789005E-2</v>
      </c>
      <c r="AA91" s="40">
        <v>6.367281499306536E-2</v>
      </c>
      <c r="AB91" s="40">
        <v>6.6353026944368718E-2</v>
      </c>
      <c r="AC91" s="40">
        <v>8.6488400763404027E-2</v>
      </c>
      <c r="AD91" s="40">
        <v>0.10211921668108914</v>
      </c>
      <c r="AE91" s="40">
        <v>0.1136734076980524</v>
      </c>
      <c r="AF91" s="16">
        <f t="shared" si="158"/>
        <v>0.11072292227266801</v>
      </c>
      <c r="AG91" s="16">
        <f t="shared" si="159"/>
        <v>0.21088265626666985</v>
      </c>
      <c r="AH91" s="16">
        <f t="shared" si="160"/>
        <v>0.3044206901456869</v>
      </c>
      <c r="AI91" s="16">
        <f t="shared" si="161"/>
        <v>0.37419718109508177</v>
      </c>
      <c r="AJ91" s="16">
        <f t="shared" si="162"/>
        <v>0.44606829146860449</v>
      </c>
      <c r="AK91" s="16">
        <f t="shared" si="163"/>
        <v>0.50661043872023148</v>
      </c>
      <c r="AL91" s="16">
        <f t="shared" si="164"/>
        <v>0.56769313292002044</v>
      </c>
      <c r="AM91" s="16">
        <f t="shared" si="165"/>
        <v>0.63136594791308576</v>
      </c>
      <c r="AN91" s="16">
        <f t="shared" si="166"/>
        <v>0.69771897485745449</v>
      </c>
      <c r="AO91" s="16">
        <f t="shared" si="167"/>
        <v>0.78420737562085852</v>
      </c>
      <c r="AP91" s="16">
        <f t="shared" si="168"/>
        <v>0.88632659230194766</v>
      </c>
      <c r="AQ91" s="16">
        <f t="shared" si="169"/>
        <v>1</v>
      </c>
    </row>
    <row r="92" spans="1:43" x14ac:dyDescent="0.25">
      <c r="B92" s="3" t="s">
        <v>132</v>
      </c>
      <c r="C92" s="3" t="s">
        <v>132</v>
      </c>
      <c r="D92" s="3" cm="1">
        <f t="array" ref="D92">VLOOKUP($C92,BD!$C:$X,BD!G$1-1,FALSE)</f>
        <v>8.8000000000000007</v>
      </c>
      <c r="E92" s="39">
        <f>22390/D92</f>
        <v>2544.3181818181815</v>
      </c>
      <c r="F92" s="18">
        <f t="shared" si="143"/>
        <v>22390</v>
      </c>
      <c r="G92" s="2"/>
      <c r="H92" s="2"/>
      <c r="I92" s="2"/>
      <c r="J92" s="30"/>
      <c r="K92" s="2"/>
      <c r="L92" s="2"/>
      <c r="M92" s="2"/>
      <c r="N92" s="2"/>
      <c r="O92" s="2"/>
      <c r="P92" s="2"/>
      <c r="Q92" s="2"/>
      <c r="R92" s="2"/>
      <c r="S92" s="19">
        <f t="shared" si="157"/>
        <v>1</v>
      </c>
      <c r="T92" s="40">
        <v>0.10942746132981451</v>
      </c>
      <c r="U92" s="40">
        <v>0.10115827285389635</v>
      </c>
      <c r="V92" s="40">
        <v>9.1349607800014651E-2</v>
      </c>
      <c r="W92" s="40">
        <v>7.8176086797155625E-2</v>
      </c>
      <c r="X92" s="40">
        <v>7.2480023458690701E-2</v>
      </c>
      <c r="Y92" s="40">
        <v>6.2385455611758678E-2</v>
      </c>
      <c r="Z92" s="40">
        <v>5.9966278132101737E-2</v>
      </c>
      <c r="AA92" s="40">
        <v>5.9284509933289348E-2</v>
      </c>
      <c r="AB92" s="40">
        <v>7.1754270214793636E-2</v>
      </c>
      <c r="AC92" s="40">
        <v>9.1745473205776723E-2</v>
      </c>
      <c r="AD92" s="40">
        <v>9.5154314199838719E-2</v>
      </c>
      <c r="AE92" s="40">
        <v>0.10711824646286928</v>
      </c>
      <c r="AF92" s="16">
        <f t="shared" si="158"/>
        <v>0.10942746132981451</v>
      </c>
      <c r="AG92" s="16">
        <f t="shared" si="159"/>
        <v>0.21058573418371085</v>
      </c>
      <c r="AH92" s="16">
        <f t="shared" si="160"/>
        <v>0.30193534198372551</v>
      </c>
      <c r="AI92" s="16">
        <f t="shared" si="161"/>
        <v>0.38011142878088111</v>
      </c>
      <c r="AJ92" s="16">
        <f t="shared" si="162"/>
        <v>0.45259145223957181</v>
      </c>
      <c r="AK92" s="16">
        <f t="shared" si="163"/>
        <v>0.51497690785133043</v>
      </c>
      <c r="AL92" s="16">
        <f t="shared" si="164"/>
        <v>0.57494318598343219</v>
      </c>
      <c r="AM92" s="16">
        <f t="shared" si="165"/>
        <v>0.63422769591672157</v>
      </c>
      <c r="AN92" s="16">
        <f t="shared" si="166"/>
        <v>0.7059819661315152</v>
      </c>
      <c r="AO92" s="16">
        <f t="shared" si="167"/>
        <v>0.79772743933729195</v>
      </c>
      <c r="AP92" s="16">
        <f t="shared" si="168"/>
        <v>0.89288175353713073</v>
      </c>
      <c r="AQ92" s="16">
        <f t="shared" si="169"/>
        <v>1</v>
      </c>
    </row>
    <row r="93" spans="1:43" x14ac:dyDescent="0.25">
      <c r="B93" s="3" t="s">
        <v>139</v>
      </c>
      <c r="C93" s="3" t="str">
        <f>B93</f>
        <v>Préveranges</v>
      </c>
      <c r="D93" s="3" cm="1">
        <f t="array" ref="D93">VLOOKUP($C93,BD!$C:$X,BD!G$1-1,FALSE)</f>
        <v>10</v>
      </c>
      <c r="E93" s="39">
        <v>2030</v>
      </c>
      <c r="F93" s="18">
        <f t="shared" si="143"/>
        <v>20300</v>
      </c>
      <c r="G93" s="2"/>
      <c r="H93" s="2"/>
      <c r="I93" s="2"/>
      <c r="J93" s="30"/>
      <c r="K93" s="2"/>
      <c r="L93" s="2"/>
      <c r="M93" s="2"/>
      <c r="N93" s="2"/>
      <c r="O93" s="2"/>
      <c r="P93" s="2"/>
      <c r="Q93" s="2"/>
      <c r="R93" s="2"/>
      <c r="S93" s="19">
        <f t="shared" si="157"/>
        <v>0.99999999999999989</v>
      </c>
      <c r="T93" s="40">
        <v>0.11282121295912254</v>
      </c>
      <c r="U93" s="40">
        <v>0.1094907599428545</v>
      </c>
      <c r="V93" s="40">
        <v>9.6995483662841608E-2</v>
      </c>
      <c r="W93" s="40">
        <v>7.604037052398728E-2</v>
      </c>
      <c r="X93" s="40">
        <v>7.0813747177289291E-2</v>
      </c>
      <c r="Y93" s="40">
        <v>5.6665399327157938E-2</v>
      </c>
      <c r="Z93" s="40">
        <v>5.5984722798285633E-2</v>
      </c>
      <c r="AA93" s="40">
        <v>5.5547145029724874E-2</v>
      </c>
      <c r="AB93" s="40">
        <v>6.3812502880317062E-2</v>
      </c>
      <c r="AC93" s="40">
        <v>8.6712406101663669E-2</v>
      </c>
      <c r="AD93" s="40">
        <v>0.10499343287709112</v>
      </c>
      <c r="AE93" s="40">
        <v>0.11012281671966452</v>
      </c>
      <c r="AF93" s="16">
        <f t="shared" si="158"/>
        <v>0.11282121295912254</v>
      </c>
      <c r="AG93" s="16">
        <f t="shared" si="159"/>
        <v>0.22231197290197702</v>
      </c>
      <c r="AH93" s="16">
        <f t="shared" si="160"/>
        <v>0.31930745656481863</v>
      </c>
      <c r="AI93" s="16">
        <f t="shared" si="161"/>
        <v>0.39534782708880589</v>
      </c>
      <c r="AJ93" s="16">
        <f t="shared" si="162"/>
        <v>0.46616157426609517</v>
      </c>
      <c r="AK93" s="16">
        <f t="shared" si="163"/>
        <v>0.52282697359325314</v>
      </c>
      <c r="AL93" s="16">
        <f t="shared" si="164"/>
        <v>0.57881169639153873</v>
      </c>
      <c r="AM93" s="16">
        <f t="shared" si="165"/>
        <v>0.63435884142126364</v>
      </c>
      <c r="AN93" s="16">
        <f t="shared" si="166"/>
        <v>0.69817134430158068</v>
      </c>
      <c r="AO93" s="16">
        <f t="shared" si="167"/>
        <v>0.78488375040324432</v>
      </c>
      <c r="AP93" s="16">
        <f t="shared" si="168"/>
        <v>0.88987718328033538</v>
      </c>
      <c r="AQ93" s="16">
        <f t="shared" si="169"/>
        <v>0.99999999999999989</v>
      </c>
    </row>
    <row r="94" spans="1:43" x14ac:dyDescent="0.25">
      <c r="B94" s="3" t="s">
        <v>140</v>
      </c>
      <c r="C94" s="3" t="str">
        <f>B94</f>
        <v>Marcillé</v>
      </c>
      <c r="D94" s="3" cm="1">
        <f t="array" ref="D94">VLOOKUP($C94,BD!$C:$X,BD!G$1-1,FALSE)</f>
        <v>12</v>
      </c>
      <c r="E94" s="37">
        <v>2200</v>
      </c>
      <c r="F94" s="18">
        <f t="shared" si="143"/>
        <v>26400</v>
      </c>
      <c r="G94" s="2"/>
      <c r="H94" s="2"/>
      <c r="I94" s="2"/>
      <c r="J94" s="30"/>
      <c r="K94" s="2"/>
      <c r="L94" s="2"/>
      <c r="M94" s="2"/>
      <c r="N94" s="2"/>
      <c r="O94" s="2"/>
      <c r="P94" s="2"/>
      <c r="Q94" s="2"/>
      <c r="R94" s="2"/>
      <c r="S94" s="19">
        <f t="shared" si="157"/>
        <v>0.99999999999999989</v>
      </c>
      <c r="T94" s="40">
        <v>0.11282121295912254</v>
      </c>
      <c r="U94" s="40">
        <v>0.1094907599428545</v>
      </c>
      <c r="V94" s="40">
        <v>9.6995483662841608E-2</v>
      </c>
      <c r="W94" s="40">
        <v>7.604037052398728E-2</v>
      </c>
      <c r="X94" s="40">
        <v>7.0813747177289291E-2</v>
      </c>
      <c r="Y94" s="40">
        <v>5.6665399327157938E-2</v>
      </c>
      <c r="Z94" s="40">
        <v>5.5984722798285633E-2</v>
      </c>
      <c r="AA94" s="40">
        <v>5.5547145029724874E-2</v>
      </c>
      <c r="AB94" s="40">
        <v>6.3812502880317062E-2</v>
      </c>
      <c r="AC94" s="40">
        <v>8.6712406101663669E-2</v>
      </c>
      <c r="AD94" s="40">
        <v>0.10499343287709112</v>
      </c>
      <c r="AE94" s="40">
        <v>0.11012281671966452</v>
      </c>
      <c r="AF94" s="16">
        <f t="shared" ref="AF94:AF95" si="200">T94</f>
        <v>0.11282121295912254</v>
      </c>
      <c r="AG94" s="16">
        <f t="shared" ref="AG94:AG95" si="201">AF94+U94</f>
        <v>0.22231197290197702</v>
      </c>
      <c r="AH94" s="16">
        <f t="shared" ref="AH94:AH95" si="202">AG94+V94</f>
        <v>0.31930745656481863</v>
      </c>
      <c r="AI94" s="16">
        <f t="shared" ref="AI94:AI95" si="203">AH94+W94</f>
        <v>0.39534782708880589</v>
      </c>
      <c r="AJ94" s="16">
        <f t="shared" ref="AJ94:AJ95" si="204">AI94+X94</f>
        <v>0.46616157426609517</v>
      </c>
      <c r="AK94" s="16">
        <f t="shared" ref="AK94:AK95" si="205">AJ94+Y94</f>
        <v>0.52282697359325314</v>
      </c>
      <c r="AL94" s="16">
        <f t="shared" ref="AL94:AL95" si="206">AK94+Z94</f>
        <v>0.57881169639153873</v>
      </c>
      <c r="AM94" s="16">
        <f t="shared" ref="AM94:AM95" si="207">AL94+AA94</f>
        <v>0.63435884142126364</v>
      </c>
      <c r="AN94" s="16">
        <f t="shared" ref="AN94:AN95" si="208">AM94+AB94</f>
        <v>0.69817134430158068</v>
      </c>
      <c r="AO94" s="16">
        <f t="shared" ref="AO94:AO95" si="209">AN94+AC94</f>
        <v>0.78488375040324432</v>
      </c>
      <c r="AP94" s="16">
        <f t="shared" ref="AP94:AP95" si="210">AO94+AD94</f>
        <v>0.88987718328033538</v>
      </c>
      <c r="AQ94" s="16">
        <f t="shared" ref="AQ94:AQ95" si="211">AP94+AE94</f>
        <v>0.99999999999999989</v>
      </c>
    </row>
    <row r="95" spans="1:43" x14ac:dyDescent="0.25">
      <c r="B95" s="3" t="s">
        <v>143</v>
      </c>
      <c r="C95" s="3" t="str">
        <f>B95</f>
        <v>Ouest Château Thierry</v>
      </c>
      <c r="D95" s="3" cm="1">
        <f t="array" ref="D95">VLOOKUP($C95,BD!$C:$X,BD!G$1-1,FALSE)</f>
        <v>21</v>
      </c>
      <c r="E95" s="39">
        <v>3042</v>
      </c>
      <c r="F95" s="18">
        <f t="shared" si="143"/>
        <v>63882</v>
      </c>
      <c r="G95" s="2"/>
      <c r="H95" s="2"/>
      <c r="I95" s="2"/>
      <c r="J95" s="30"/>
      <c r="K95" s="2"/>
      <c r="L95" s="2"/>
      <c r="M95" s="2"/>
      <c r="N95" s="2"/>
      <c r="O95" s="2"/>
      <c r="P95" s="2"/>
      <c r="Q95" s="2"/>
      <c r="R95" s="2"/>
      <c r="S95" s="19">
        <f t="shared" si="157"/>
        <v>0.99999999999999989</v>
      </c>
      <c r="T95" s="40">
        <v>0.11748523879592743</v>
      </c>
      <c r="U95" s="40">
        <v>0.10611666379749768</v>
      </c>
      <c r="V95" s="40">
        <v>9.5564149848679003E-2</v>
      </c>
      <c r="W95" s="40">
        <v>8.119829087276266E-2</v>
      </c>
      <c r="X95" s="40">
        <v>6.6787299576410594E-2</v>
      </c>
      <c r="Y95" s="40">
        <v>5.3602775683204026E-2</v>
      </c>
      <c r="Z95" s="40">
        <v>5.0369361871495946E-2</v>
      </c>
      <c r="AA95" s="40">
        <v>4.7637684523806942E-2</v>
      </c>
      <c r="AB95" s="40">
        <v>6.8069515460211394E-2</v>
      </c>
      <c r="AC95" s="40">
        <v>9.3908952335095455E-2</v>
      </c>
      <c r="AD95" s="40">
        <v>0.10043152857728846</v>
      </c>
      <c r="AE95" s="40">
        <v>0.11882853865762036</v>
      </c>
      <c r="AF95" s="16">
        <f t="shared" si="200"/>
        <v>0.11748523879592743</v>
      </c>
      <c r="AG95" s="16">
        <f t="shared" si="201"/>
        <v>0.22360190259342511</v>
      </c>
      <c r="AH95" s="16">
        <f t="shared" si="202"/>
        <v>0.31916605244210411</v>
      </c>
      <c r="AI95" s="16">
        <f t="shared" si="203"/>
        <v>0.40036434331486676</v>
      </c>
      <c r="AJ95" s="16">
        <f t="shared" si="204"/>
        <v>0.46715164289127736</v>
      </c>
      <c r="AK95" s="16">
        <f t="shared" si="205"/>
        <v>0.52075441857448135</v>
      </c>
      <c r="AL95" s="16">
        <f t="shared" si="206"/>
        <v>0.57112378044597734</v>
      </c>
      <c r="AM95" s="16">
        <f t="shared" si="207"/>
        <v>0.61876146496978424</v>
      </c>
      <c r="AN95" s="16">
        <f t="shared" si="208"/>
        <v>0.68683098042999569</v>
      </c>
      <c r="AO95" s="16">
        <f t="shared" si="209"/>
        <v>0.78073993276509113</v>
      </c>
      <c r="AP95" s="16">
        <f t="shared" si="210"/>
        <v>0.88117146134237956</v>
      </c>
      <c r="AQ95" s="16">
        <f t="shared" si="211"/>
        <v>0.99999999999999989</v>
      </c>
    </row>
    <row r="96" spans="1:43" ht="17.100000000000001" customHeight="1" x14ac:dyDescent="0.25">
      <c r="A96" s="3"/>
      <c r="B96" s="3" t="s">
        <v>138</v>
      </c>
      <c r="C96" s="3" t="str">
        <f t="shared" ref="C96:C112" si="212">B96</f>
        <v>Bougainville - Repowering</v>
      </c>
      <c r="D96" s="3" cm="1">
        <f t="array" ref="D96">VLOOKUP($C96,BD!$C:$X,BD!G$1-1,FALSE)</f>
        <v>18</v>
      </c>
      <c r="E96" s="39">
        <v>2571</v>
      </c>
      <c r="F96" s="18">
        <f t="shared" si="143"/>
        <v>46278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9">
        <f t="shared" si="157"/>
        <v>1.0000000000000002</v>
      </c>
      <c r="T96" s="34">
        <f>T97</f>
        <v>0.12123920434434249</v>
      </c>
      <c r="U96" s="34">
        <f t="shared" ref="U96:AE96" si="213">U97</f>
        <v>0.10823845498601366</v>
      </c>
      <c r="V96" s="34">
        <f t="shared" si="213"/>
        <v>9.2351555740724928E-2</v>
      </c>
      <c r="W96" s="34">
        <f t="shared" si="213"/>
        <v>7.2512356818842619E-2</v>
      </c>
      <c r="X96" s="34">
        <f t="shared" si="213"/>
        <v>6.6870057051874723E-2</v>
      </c>
      <c r="Y96" s="34">
        <f t="shared" si="213"/>
        <v>5.4519307728305239E-2</v>
      </c>
      <c r="Z96" s="34">
        <f t="shared" si="213"/>
        <v>5.3583264897500808E-2</v>
      </c>
      <c r="AA96" s="34">
        <f t="shared" si="213"/>
        <v>5.3557275591298172E-2</v>
      </c>
      <c r="AB96" s="34">
        <f t="shared" si="213"/>
        <v>6.6792035657328122E-2</v>
      </c>
      <c r="AC96" s="34">
        <f t="shared" si="213"/>
        <v>9.3703587898587612E-2</v>
      </c>
      <c r="AD96" s="34">
        <f t="shared" si="213"/>
        <v>0.10030797327850127</v>
      </c>
      <c r="AE96" s="34">
        <f t="shared" si="213"/>
        <v>0.11632492600668055</v>
      </c>
      <c r="AF96" s="16">
        <f t="shared" si="158"/>
        <v>0.12123920434434249</v>
      </c>
      <c r="AG96" s="16">
        <f t="shared" si="159"/>
        <v>0.22947765933035613</v>
      </c>
      <c r="AH96" s="16">
        <f t="shared" si="160"/>
        <v>0.32182921507108109</v>
      </c>
      <c r="AI96" s="16">
        <f t="shared" si="161"/>
        <v>0.39434157188992369</v>
      </c>
      <c r="AJ96" s="16">
        <f t="shared" si="162"/>
        <v>0.4612116289417984</v>
      </c>
      <c r="AK96" s="16">
        <f t="shared" si="163"/>
        <v>0.51573093667010361</v>
      </c>
      <c r="AL96" s="16">
        <f t="shared" si="164"/>
        <v>0.56931420156760437</v>
      </c>
      <c r="AM96" s="16">
        <f t="shared" si="165"/>
        <v>0.62287147715890256</v>
      </c>
      <c r="AN96" s="16">
        <f t="shared" si="166"/>
        <v>0.68966351281623073</v>
      </c>
      <c r="AO96" s="16">
        <f t="shared" si="167"/>
        <v>0.7833671007148183</v>
      </c>
      <c r="AP96" s="16">
        <f t="shared" si="168"/>
        <v>0.88367507399331957</v>
      </c>
      <c r="AQ96" s="16">
        <f t="shared" si="169"/>
        <v>1.0000000000000002</v>
      </c>
    </row>
    <row r="97" spans="1:43" ht="17.100000000000001" customHeight="1" x14ac:dyDescent="0.25">
      <c r="A97" s="3"/>
      <c r="B97" s="3" t="s">
        <v>133</v>
      </c>
      <c r="C97" s="3" t="str">
        <f t="shared" si="212"/>
        <v>Bougainville - off</v>
      </c>
      <c r="D97" s="3" cm="1">
        <f t="array" ref="D97">VLOOKUP($C97,BD!$C:$X,BD!G$1-1,FALSE)</f>
        <v>-12</v>
      </c>
      <c r="E97" s="18">
        <f>E70</f>
        <v>1558.3332499999997</v>
      </c>
      <c r="F97" s="18">
        <f t="shared" si="143"/>
        <v>-18699.998999999996</v>
      </c>
      <c r="G97" s="2">
        <f>G70</f>
        <v>2267.1729999999998</v>
      </c>
      <c r="H97" s="2">
        <f t="shared" ref="H97:R97" si="214">H70</f>
        <v>2024.059</v>
      </c>
      <c r="I97" s="2">
        <f t="shared" si="214"/>
        <v>1726.9739999999999</v>
      </c>
      <c r="J97" s="2">
        <f t="shared" si="214"/>
        <v>1355.981</v>
      </c>
      <c r="K97" s="2">
        <f t="shared" si="214"/>
        <v>1250.47</v>
      </c>
      <c r="L97" s="2">
        <f t="shared" si="214"/>
        <v>1019.511</v>
      </c>
      <c r="M97" s="2">
        <f t="shared" si="214"/>
        <v>1002.0069999999999</v>
      </c>
      <c r="N97" s="2">
        <f t="shared" si="214"/>
        <v>1001.521</v>
      </c>
      <c r="O97" s="2">
        <f t="shared" si="214"/>
        <v>1249.011</v>
      </c>
      <c r="P97" s="2">
        <f t="shared" si="214"/>
        <v>1752.2570000000001</v>
      </c>
      <c r="Q97" s="2">
        <f t="shared" si="214"/>
        <v>1875.759</v>
      </c>
      <c r="R97" s="2">
        <f t="shared" si="214"/>
        <v>2175.2759999999998</v>
      </c>
      <c r="S97" s="19">
        <f t="shared" si="157"/>
        <v>1.0000000000000002</v>
      </c>
      <c r="T97" s="16">
        <f>T70</f>
        <v>0.12123920434434249</v>
      </c>
      <c r="U97" s="16">
        <f t="shared" ref="U97:AE97" si="215">U70</f>
        <v>0.10823845498601366</v>
      </c>
      <c r="V97" s="16">
        <f t="shared" si="215"/>
        <v>9.2351555740724928E-2</v>
      </c>
      <c r="W97" s="16">
        <f t="shared" si="215"/>
        <v>7.2512356818842619E-2</v>
      </c>
      <c r="X97" s="16">
        <f t="shared" si="215"/>
        <v>6.6870057051874723E-2</v>
      </c>
      <c r="Y97" s="16">
        <f t="shared" si="215"/>
        <v>5.4519307728305239E-2</v>
      </c>
      <c r="Z97" s="16">
        <f t="shared" si="215"/>
        <v>5.3583264897500808E-2</v>
      </c>
      <c r="AA97" s="16">
        <f t="shared" si="215"/>
        <v>5.3557275591298172E-2</v>
      </c>
      <c r="AB97" s="16">
        <f t="shared" si="215"/>
        <v>6.6792035657328122E-2</v>
      </c>
      <c r="AC97" s="16">
        <f t="shared" si="215"/>
        <v>9.3703587898587612E-2</v>
      </c>
      <c r="AD97" s="16">
        <f t="shared" si="215"/>
        <v>0.10030797327850127</v>
      </c>
      <c r="AE97" s="16">
        <f t="shared" si="215"/>
        <v>0.11632492600668055</v>
      </c>
      <c r="AF97" s="16">
        <f t="shared" si="158"/>
        <v>0.12123920434434249</v>
      </c>
      <c r="AG97" s="16">
        <f t="shared" si="159"/>
        <v>0.22947765933035613</v>
      </c>
      <c r="AH97" s="16">
        <f t="shared" si="160"/>
        <v>0.32182921507108109</v>
      </c>
      <c r="AI97" s="16">
        <f t="shared" si="161"/>
        <v>0.39434157188992369</v>
      </c>
      <c r="AJ97" s="16">
        <f t="shared" si="162"/>
        <v>0.4612116289417984</v>
      </c>
      <c r="AK97" s="16">
        <f t="shared" si="163"/>
        <v>0.51573093667010361</v>
      </c>
      <c r="AL97" s="16">
        <f t="shared" si="164"/>
        <v>0.56931420156760437</v>
      </c>
      <c r="AM97" s="16">
        <f t="shared" si="165"/>
        <v>0.62287147715890256</v>
      </c>
      <c r="AN97" s="16">
        <f t="shared" si="166"/>
        <v>0.68966351281623073</v>
      </c>
      <c r="AO97" s="16">
        <f t="shared" si="167"/>
        <v>0.7833671007148183</v>
      </c>
      <c r="AP97" s="16">
        <f t="shared" si="168"/>
        <v>0.88367507399331957</v>
      </c>
      <c r="AQ97" s="16">
        <f t="shared" si="169"/>
        <v>1.0000000000000002</v>
      </c>
    </row>
    <row r="98" spans="1:43" ht="19.5" x14ac:dyDescent="0.25">
      <c r="A98" s="9"/>
      <c r="B98" s="3" t="s">
        <v>134</v>
      </c>
      <c r="C98" s="3" t="str">
        <f t="shared" si="212"/>
        <v>Remise Reclainville - Repowering</v>
      </c>
      <c r="D98" s="3" cm="1">
        <f t="array" ref="D98">VLOOKUP($C98,BD!$C:$X,BD!G$1-1,FALSE)</f>
        <v>14.4</v>
      </c>
      <c r="E98" s="39">
        <v>2820</v>
      </c>
      <c r="F98" s="18">
        <f t="shared" si="143"/>
        <v>40608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9">
        <f t="shared" si="157"/>
        <v>1</v>
      </c>
      <c r="T98" s="34">
        <f>T99</f>
        <v>0.11281101314331989</v>
      </c>
      <c r="U98" s="34">
        <f t="shared" ref="U98" si="216">U99</f>
        <v>0.10574765150200216</v>
      </c>
      <c r="V98" s="34">
        <f t="shared" ref="V98" si="217">V99</f>
        <v>9.2856348439342387E-2</v>
      </c>
      <c r="W98" s="34">
        <f t="shared" ref="W98" si="218">W99</f>
        <v>8.0502188256394464E-2</v>
      </c>
      <c r="X98" s="34">
        <f t="shared" ref="X98" si="219">X99</f>
        <v>7.260622153807654E-2</v>
      </c>
      <c r="Y98" s="34">
        <f t="shared" ref="Y98" si="220">Y99</f>
        <v>5.8989792394529096E-2</v>
      </c>
      <c r="Z98" s="34">
        <f t="shared" ref="Z98" si="221">Z99</f>
        <v>5.7056094834289695E-2</v>
      </c>
      <c r="AA98" s="34">
        <f t="shared" ref="AA98" si="222">AA99</f>
        <v>5.3081262734506841E-2</v>
      </c>
      <c r="AB98" s="34">
        <f t="shared" ref="AB98" si="223">AB99</f>
        <v>6.8255423035942148E-2</v>
      </c>
      <c r="AC98" s="34">
        <f t="shared" ref="AC98" si="224">AC99</f>
        <v>8.8827818858311716E-2</v>
      </c>
      <c r="AD98" s="34">
        <f t="shared" ref="AD98" si="225">AD99</f>
        <v>9.5488323339845513E-2</v>
      </c>
      <c r="AE98" s="34">
        <f t="shared" ref="AE98" si="226">AE99</f>
        <v>0.11377786192343958</v>
      </c>
      <c r="AF98" s="16">
        <f t="shared" si="158"/>
        <v>0.11281101314331989</v>
      </c>
      <c r="AG98" s="16">
        <f t="shared" si="159"/>
        <v>0.21855866464532203</v>
      </c>
      <c r="AH98" s="16">
        <f t="shared" si="160"/>
        <v>0.3114150130846644</v>
      </c>
      <c r="AI98" s="16">
        <f t="shared" si="161"/>
        <v>0.3919172013410589</v>
      </c>
      <c r="AJ98" s="16">
        <f t="shared" si="162"/>
        <v>0.46452342287913545</v>
      </c>
      <c r="AK98" s="16">
        <f t="shared" si="163"/>
        <v>0.52351321527366457</v>
      </c>
      <c r="AL98" s="16">
        <f t="shared" si="164"/>
        <v>0.58056931010795432</v>
      </c>
      <c r="AM98" s="16">
        <f t="shared" si="165"/>
        <v>0.63365057284246118</v>
      </c>
      <c r="AN98" s="16">
        <f t="shared" si="166"/>
        <v>0.7019059958784033</v>
      </c>
      <c r="AO98" s="16">
        <f t="shared" si="167"/>
        <v>0.790733814736715</v>
      </c>
      <c r="AP98" s="16">
        <f t="shared" si="168"/>
        <v>0.88622213807656047</v>
      </c>
      <c r="AQ98" s="16">
        <f t="shared" si="169"/>
        <v>1</v>
      </c>
    </row>
    <row r="99" spans="1:43" x14ac:dyDescent="0.25">
      <c r="A99" s="3"/>
      <c r="B99" s="3" t="s">
        <v>130</v>
      </c>
      <c r="C99" s="3" t="str">
        <f t="shared" si="212"/>
        <v>Remise Reclainville - off</v>
      </c>
      <c r="D99" s="3" cm="1">
        <f t="array" ref="D99">VLOOKUP($C99,BD!$C:$X,BD!G$1-1,FALSE)</f>
        <v>-12</v>
      </c>
      <c r="E99" s="18">
        <f>E69</f>
        <v>1983.3332499999999</v>
      </c>
      <c r="F99" s="18">
        <f t="shared" si="143"/>
        <v>-23799.999</v>
      </c>
      <c r="G99" s="2">
        <f>G69</f>
        <v>2684.902</v>
      </c>
      <c r="H99" s="2">
        <f t="shared" ref="H99:R99" si="227">H69</f>
        <v>2516.7939999999999</v>
      </c>
      <c r="I99" s="2">
        <f t="shared" si="227"/>
        <v>2209.9810000000002</v>
      </c>
      <c r="J99" s="2">
        <f t="shared" si="227"/>
        <v>1915.952</v>
      </c>
      <c r="K99" s="2">
        <f t="shared" si="227"/>
        <v>1728.028</v>
      </c>
      <c r="L99" s="2">
        <f t="shared" si="227"/>
        <v>1403.9570000000001</v>
      </c>
      <c r="M99" s="2">
        <f t="shared" si="227"/>
        <v>1357.9349999999999</v>
      </c>
      <c r="N99" s="2">
        <f t="shared" si="227"/>
        <v>1263.3340000000001</v>
      </c>
      <c r="O99" s="2">
        <f t="shared" si="227"/>
        <v>1624.479</v>
      </c>
      <c r="P99" s="2">
        <f t="shared" si="227"/>
        <v>2114.1019999999999</v>
      </c>
      <c r="Q99" s="2">
        <f t="shared" si="227"/>
        <v>2272.6219999999998</v>
      </c>
      <c r="R99" s="2">
        <f t="shared" si="227"/>
        <v>2707.913</v>
      </c>
      <c r="S99" s="19">
        <f t="shared" si="157"/>
        <v>1</v>
      </c>
      <c r="T99" s="16">
        <f>T69</f>
        <v>0.11281101314331989</v>
      </c>
      <c r="U99" s="16">
        <f t="shared" ref="U99:AE99" si="228">U69</f>
        <v>0.10574765150200216</v>
      </c>
      <c r="V99" s="16">
        <f t="shared" si="228"/>
        <v>9.2856348439342387E-2</v>
      </c>
      <c r="W99" s="16">
        <f t="shared" si="228"/>
        <v>8.0502188256394464E-2</v>
      </c>
      <c r="X99" s="16">
        <f t="shared" si="228"/>
        <v>7.260622153807654E-2</v>
      </c>
      <c r="Y99" s="16">
        <f t="shared" si="228"/>
        <v>5.8989792394529096E-2</v>
      </c>
      <c r="Z99" s="16">
        <f t="shared" si="228"/>
        <v>5.7056094834289695E-2</v>
      </c>
      <c r="AA99" s="16">
        <f t="shared" si="228"/>
        <v>5.3081262734506841E-2</v>
      </c>
      <c r="AB99" s="16">
        <f t="shared" si="228"/>
        <v>6.8255423035942148E-2</v>
      </c>
      <c r="AC99" s="16">
        <f t="shared" si="228"/>
        <v>8.8827818858311716E-2</v>
      </c>
      <c r="AD99" s="16">
        <f t="shared" si="228"/>
        <v>9.5488323339845513E-2</v>
      </c>
      <c r="AE99" s="16">
        <f t="shared" si="228"/>
        <v>0.11377786192343958</v>
      </c>
      <c r="AF99" s="16">
        <f t="shared" si="158"/>
        <v>0.11281101314331989</v>
      </c>
      <c r="AG99" s="16">
        <f t="shared" si="159"/>
        <v>0.21855866464532203</v>
      </c>
      <c r="AH99" s="16">
        <f t="shared" si="160"/>
        <v>0.3114150130846644</v>
      </c>
      <c r="AI99" s="16">
        <f t="shared" si="161"/>
        <v>0.3919172013410589</v>
      </c>
      <c r="AJ99" s="16">
        <f t="shared" si="162"/>
        <v>0.46452342287913545</v>
      </c>
      <c r="AK99" s="16">
        <f t="shared" si="163"/>
        <v>0.52351321527366457</v>
      </c>
      <c r="AL99" s="16">
        <f t="shared" si="164"/>
        <v>0.58056931010795432</v>
      </c>
      <c r="AM99" s="16">
        <f t="shared" si="165"/>
        <v>0.63365057284246118</v>
      </c>
      <c r="AN99" s="16">
        <f t="shared" si="166"/>
        <v>0.7019059958784033</v>
      </c>
      <c r="AO99" s="16">
        <f t="shared" si="167"/>
        <v>0.790733814736715</v>
      </c>
      <c r="AP99" s="16">
        <f t="shared" si="168"/>
        <v>0.88622213807656047</v>
      </c>
      <c r="AQ99" s="16">
        <f t="shared" si="169"/>
        <v>1</v>
      </c>
    </row>
    <row r="100" spans="1:43" ht="19.5" x14ac:dyDescent="0.25">
      <c r="A100" s="9"/>
      <c r="B100" s="3" t="s">
        <v>135</v>
      </c>
      <c r="C100" s="3" t="str">
        <f t="shared" si="212"/>
        <v>Evits et Josaphats - Repowering</v>
      </c>
      <c r="D100" s="3" cm="1">
        <f t="array" ref="D100">VLOOKUP($C100,BD!$C:$X,BD!G$1-1,FALSE)</f>
        <v>14.4</v>
      </c>
      <c r="E100" s="39">
        <v>2905</v>
      </c>
      <c r="F100" s="18">
        <f t="shared" si="143"/>
        <v>41832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9">
        <f t="shared" si="157"/>
        <v>1.0000000000000002</v>
      </c>
      <c r="T100" s="34">
        <f>T101</f>
        <v>0.11306200000000001</v>
      </c>
      <c r="U100" s="34">
        <f t="shared" ref="U100" si="229">U101</f>
        <v>0.10582200000000001</v>
      </c>
      <c r="V100" s="34">
        <f t="shared" ref="V100" si="230">V101</f>
        <v>9.2763191489361713E-2</v>
      </c>
      <c r="W100" s="34">
        <f t="shared" ref="W100" si="231">W101</f>
        <v>8.0294340425531921E-2</v>
      </c>
      <c r="X100" s="34">
        <f t="shared" ref="X100" si="232">X101</f>
        <v>7.2491234042553213E-2</v>
      </c>
      <c r="Y100" s="34">
        <f t="shared" ref="Y100" si="233">Y101</f>
        <v>5.8788851063829799E-2</v>
      </c>
      <c r="Z100" s="34">
        <f t="shared" ref="Z100" si="234">Z101</f>
        <v>5.6911829787234053E-2</v>
      </c>
      <c r="AA100" s="34">
        <f t="shared" ref="AA100" si="235">AA101</f>
        <v>5.3077319148936181E-2</v>
      </c>
      <c r="AB100" s="34">
        <f t="shared" ref="AB100" si="236">AB101</f>
        <v>6.8200851063829795E-2</v>
      </c>
      <c r="AC100" s="34">
        <f t="shared" ref="AC100" si="237">AC101</f>
        <v>8.8982297872340438E-2</v>
      </c>
      <c r="AD100" s="34">
        <f t="shared" ref="AD100" si="238">AD101</f>
        <v>9.5686000000000021E-2</v>
      </c>
      <c r="AE100" s="34">
        <f t="shared" ref="AE100" si="239">AE101</f>
        <v>0.11392008510638299</v>
      </c>
      <c r="AF100" s="16">
        <f t="shared" si="158"/>
        <v>0.11306200000000001</v>
      </c>
      <c r="AG100" s="16">
        <f t="shared" si="159"/>
        <v>0.21888400000000002</v>
      </c>
      <c r="AH100" s="16">
        <f t="shared" si="160"/>
        <v>0.31164719148936171</v>
      </c>
      <c r="AI100" s="16">
        <f t="shared" si="161"/>
        <v>0.39194153191489361</v>
      </c>
      <c r="AJ100" s="16">
        <f t="shared" si="162"/>
        <v>0.46443276595744681</v>
      </c>
      <c r="AK100" s="16">
        <f t="shared" si="163"/>
        <v>0.52322161702127656</v>
      </c>
      <c r="AL100" s="16">
        <f t="shared" si="164"/>
        <v>0.58013344680851064</v>
      </c>
      <c r="AM100" s="16">
        <f t="shared" si="165"/>
        <v>0.63321076595744685</v>
      </c>
      <c r="AN100" s="16">
        <f t="shared" si="166"/>
        <v>0.70141161702127663</v>
      </c>
      <c r="AO100" s="16">
        <f t="shared" si="167"/>
        <v>0.7903939148936171</v>
      </c>
      <c r="AP100" s="16">
        <f t="shared" si="168"/>
        <v>0.88607991489361715</v>
      </c>
      <c r="AQ100" s="16">
        <f t="shared" si="169"/>
        <v>1.0000000000000002</v>
      </c>
    </row>
    <row r="101" spans="1:43" x14ac:dyDescent="0.25">
      <c r="A101" s="9"/>
      <c r="B101" s="3" t="s">
        <v>131</v>
      </c>
      <c r="C101" s="3" t="str">
        <f t="shared" si="212"/>
        <v>Evits et Josaphats - off</v>
      </c>
      <c r="D101" s="3" cm="1">
        <f t="array" ref="D101">VLOOKUP($C101,BD!$C:$X,BD!G$1-1,FALSE)</f>
        <v>-12</v>
      </c>
      <c r="E101" s="18">
        <f>E68</f>
        <v>1958.333333333333</v>
      </c>
      <c r="F101" s="18">
        <f t="shared" si="143"/>
        <v>-23499.999999999996</v>
      </c>
      <c r="G101" s="2">
        <f>G68</f>
        <v>2656.9569999999999</v>
      </c>
      <c r="H101" s="2">
        <f t="shared" ref="H101:R101" si="240">H68</f>
        <v>2486.817</v>
      </c>
      <c r="I101" s="2">
        <f t="shared" si="240"/>
        <v>2179.9349999999999</v>
      </c>
      <c r="J101" s="2">
        <f t="shared" si="240"/>
        <v>1886.9169999999999</v>
      </c>
      <c r="K101" s="2">
        <f t="shared" si="240"/>
        <v>1703.5440000000001</v>
      </c>
      <c r="L101" s="2">
        <f t="shared" si="240"/>
        <v>1381.538</v>
      </c>
      <c r="M101" s="2">
        <f t="shared" si="240"/>
        <v>1337.4280000000001</v>
      </c>
      <c r="N101" s="2">
        <f t="shared" si="240"/>
        <v>1247.317</v>
      </c>
      <c r="O101" s="2">
        <f t="shared" si="240"/>
        <v>1602.72</v>
      </c>
      <c r="P101" s="2">
        <f t="shared" si="240"/>
        <v>2091.0839999999998</v>
      </c>
      <c r="Q101" s="2">
        <f t="shared" si="240"/>
        <v>2248.6210000000001</v>
      </c>
      <c r="R101" s="2">
        <f t="shared" si="240"/>
        <v>2677.1219999999998</v>
      </c>
      <c r="S101" s="19">
        <f t="shared" si="157"/>
        <v>1.0000000000000002</v>
      </c>
      <c r="T101" s="16">
        <f>T68</f>
        <v>0.11306200000000001</v>
      </c>
      <c r="U101" s="16">
        <f t="shared" ref="U101:AE101" si="241">U68</f>
        <v>0.10582200000000001</v>
      </c>
      <c r="V101" s="16">
        <f t="shared" si="241"/>
        <v>9.2763191489361713E-2</v>
      </c>
      <c r="W101" s="16">
        <f t="shared" si="241"/>
        <v>8.0294340425531921E-2</v>
      </c>
      <c r="X101" s="16">
        <f t="shared" si="241"/>
        <v>7.2491234042553213E-2</v>
      </c>
      <c r="Y101" s="16">
        <f t="shared" si="241"/>
        <v>5.8788851063829799E-2</v>
      </c>
      <c r="Z101" s="16">
        <f t="shared" si="241"/>
        <v>5.6911829787234053E-2</v>
      </c>
      <c r="AA101" s="16">
        <f t="shared" si="241"/>
        <v>5.3077319148936181E-2</v>
      </c>
      <c r="AB101" s="16">
        <f t="shared" si="241"/>
        <v>6.8200851063829795E-2</v>
      </c>
      <c r="AC101" s="16">
        <f t="shared" si="241"/>
        <v>8.8982297872340438E-2</v>
      </c>
      <c r="AD101" s="16">
        <f t="shared" si="241"/>
        <v>9.5686000000000021E-2</v>
      </c>
      <c r="AE101" s="16">
        <f t="shared" si="241"/>
        <v>0.11392008510638299</v>
      </c>
      <c r="AF101" s="16">
        <f t="shared" si="158"/>
        <v>0.11306200000000001</v>
      </c>
      <c r="AG101" s="16">
        <f t="shared" si="159"/>
        <v>0.21888400000000002</v>
      </c>
      <c r="AH101" s="16">
        <f t="shared" si="160"/>
        <v>0.31164719148936171</v>
      </c>
      <c r="AI101" s="16">
        <f t="shared" si="161"/>
        <v>0.39194153191489361</v>
      </c>
      <c r="AJ101" s="16">
        <f t="shared" si="162"/>
        <v>0.46443276595744681</v>
      </c>
      <c r="AK101" s="16">
        <f t="shared" si="163"/>
        <v>0.52322161702127656</v>
      </c>
      <c r="AL101" s="16">
        <f t="shared" si="164"/>
        <v>0.58013344680851064</v>
      </c>
      <c r="AM101" s="16">
        <f t="shared" si="165"/>
        <v>0.63321076595744685</v>
      </c>
      <c r="AN101" s="16">
        <f t="shared" si="166"/>
        <v>0.70141161702127663</v>
      </c>
      <c r="AO101" s="16">
        <f t="shared" si="167"/>
        <v>0.7903939148936171</v>
      </c>
      <c r="AP101" s="16">
        <f t="shared" si="168"/>
        <v>0.88607991489361715</v>
      </c>
      <c r="AQ101" s="16">
        <f t="shared" si="169"/>
        <v>1.0000000000000002</v>
      </c>
    </row>
    <row r="102" spans="1:43" ht="19.5" x14ac:dyDescent="0.25">
      <c r="A102" s="9"/>
      <c r="B102" s="9" t="s">
        <v>142</v>
      </c>
      <c r="C102" s="3" t="str">
        <f t="shared" si="212"/>
        <v>Maurienne / Gourgançon - Repowering</v>
      </c>
      <c r="D102" s="3" cm="1">
        <f t="array" ref="D102">VLOOKUP($C102,BD!$C:$X,BD!G$1-1,FALSE)</f>
        <v>25.2</v>
      </c>
      <c r="E102" s="37">
        <f>60654/24</f>
        <v>2527.25</v>
      </c>
      <c r="F102" s="18">
        <f t="shared" si="143"/>
        <v>63686.7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9">
        <f t="shared" si="157"/>
        <v>1</v>
      </c>
      <c r="T102" s="34">
        <f>T103</f>
        <v>0.10935036530785346</v>
      </c>
      <c r="U102" s="34">
        <f t="shared" ref="U102" si="242">U103</f>
        <v>0.10210013416203081</v>
      </c>
      <c r="V102" s="34">
        <f t="shared" ref="V102" si="243">V103</f>
        <v>9.4483514144281758E-2</v>
      </c>
      <c r="W102" s="34">
        <f t="shared" ref="W102" si="244">W103</f>
        <v>8.2312542485530438E-2</v>
      </c>
      <c r="X102" s="34">
        <f t="shared" ref="X102" si="245">X103</f>
        <v>7.1685876310839058E-2</v>
      </c>
      <c r="Y102" s="34">
        <f t="shared" ref="Y102" si="246">Y103</f>
        <v>6.1006849027460695E-2</v>
      </c>
      <c r="Z102" s="34">
        <f t="shared" ref="Z102" si="247">Z103</f>
        <v>5.8022960276714802E-2</v>
      </c>
      <c r="AA102" s="34">
        <f t="shared" ref="AA102" si="248">AA103</f>
        <v>5.5850552969881812E-2</v>
      </c>
      <c r="AB102" s="34">
        <f t="shared" ref="AB102" si="249">AB103</f>
        <v>7.097916338059429E-2</v>
      </c>
      <c r="AC102" s="34">
        <f t="shared" ref="AC102" si="250">AC103</f>
        <v>8.9667449552432887E-2</v>
      </c>
      <c r="AD102" s="34">
        <f t="shared" ref="AD102" si="251">AD103</f>
        <v>9.4012356758687188E-2</v>
      </c>
      <c r="AE102" s="34">
        <f t="shared" ref="AE102" si="252">AE103</f>
        <v>0.11052823562369279</v>
      </c>
      <c r="AF102" s="16">
        <f t="shared" si="158"/>
        <v>0.10935036530785346</v>
      </c>
      <c r="AG102" s="16">
        <f t="shared" si="159"/>
        <v>0.21145049946988426</v>
      </c>
      <c r="AH102" s="16">
        <f t="shared" si="160"/>
        <v>0.305934013614166</v>
      </c>
      <c r="AI102" s="16">
        <f t="shared" si="161"/>
        <v>0.38824655609969644</v>
      </c>
      <c r="AJ102" s="16">
        <f t="shared" si="162"/>
        <v>0.4599324324105355</v>
      </c>
      <c r="AK102" s="16">
        <f t="shared" si="163"/>
        <v>0.52093928143799617</v>
      </c>
      <c r="AL102" s="16">
        <f t="shared" si="164"/>
        <v>0.578962241714711</v>
      </c>
      <c r="AM102" s="16">
        <f t="shared" si="165"/>
        <v>0.63481279468459284</v>
      </c>
      <c r="AN102" s="16">
        <f t="shared" si="166"/>
        <v>0.70579195806518713</v>
      </c>
      <c r="AO102" s="16">
        <f t="shared" si="167"/>
        <v>0.79545940761762002</v>
      </c>
      <c r="AP102" s="16">
        <f t="shared" si="168"/>
        <v>0.88947176437630726</v>
      </c>
      <c r="AQ102" s="16">
        <f t="shared" si="169"/>
        <v>1</v>
      </c>
    </row>
    <row r="103" spans="1:43" ht="19.5" x14ac:dyDescent="0.25">
      <c r="A103" s="9"/>
      <c r="B103" s="9" t="s">
        <v>137</v>
      </c>
      <c r="C103" s="3" t="str">
        <f t="shared" si="212"/>
        <v>Maurienne / Gourgançon - off</v>
      </c>
      <c r="D103" s="3" cm="1">
        <f t="array" ref="D103">VLOOKUP($C103,BD!$C:$X,BD!G$1-1,FALSE)</f>
        <v>-12</v>
      </c>
      <c r="E103" s="18">
        <f>E64</f>
        <v>1800.0000833333334</v>
      </c>
      <c r="F103" s="18">
        <f t="shared" si="143"/>
        <v>-21600.001</v>
      </c>
      <c r="G103" s="10">
        <f>G64</f>
        <v>2361.9679999999998</v>
      </c>
      <c r="H103" s="10">
        <f t="shared" ref="H103:R103" si="253">H64</f>
        <v>2205.3629999999998</v>
      </c>
      <c r="I103" s="10">
        <f t="shared" si="253"/>
        <v>2040.8440000000001</v>
      </c>
      <c r="J103" s="10">
        <f t="shared" si="253"/>
        <v>1777.951</v>
      </c>
      <c r="K103" s="10">
        <f t="shared" si="253"/>
        <v>1548.415</v>
      </c>
      <c r="L103" s="10">
        <f t="shared" si="253"/>
        <v>1317.748</v>
      </c>
      <c r="M103" s="10">
        <f t="shared" si="253"/>
        <v>1253.296</v>
      </c>
      <c r="N103" s="10">
        <f t="shared" si="253"/>
        <v>1206.3720000000001</v>
      </c>
      <c r="O103" s="10">
        <f t="shared" si="253"/>
        <v>1533.15</v>
      </c>
      <c r="P103" s="10">
        <f t="shared" si="253"/>
        <v>1936.817</v>
      </c>
      <c r="Q103" s="10">
        <f t="shared" si="253"/>
        <v>2030.6669999999999</v>
      </c>
      <c r="R103" s="10">
        <f t="shared" si="253"/>
        <v>2387.41</v>
      </c>
      <c r="S103" s="19">
        <f t="shared" si="157"/>
        <v>1</v>
      </c>
      <c r="T103" s="34">
        <f>T64</f>
        <v>0.10935036530785346</v>
      </c>
      <c r="U103" s="34">
        <f t="shared" ref="U103:AE103" si="254">U64</f>
        <v>0.10210013416203081</v>
      </c>
      <c r="V103" s="34">
        <f t="shared" si="254"/>
        <v>9.4483514144281758E-2</v>
      </c>
      <c r="W103" s="34">
        <f t="shared" si="254"/>
        <v>8.2312542485530438E-2</v>
      </c>
      <c r="X103" s="34">
        <f t="shared" si="254"/>
        <v>7.1685876310839058E-2</v>
      </c>
      <c r="Y103" s="34">
        <f t="shared" si="254"/>
        <v>6.1006849027460695E-2</v>
      </c>
      <c r="Z103" s="34">
        <f t="shared" si="254"/>
        <v>5.8022960276714802E-2</v>
      </c>
      <c r="AA103" s="34">
        <f t="shared" si="254"/>
        <v>5.5850552969881812E-2</v>
      </c>
      <c r="AB103" s="34">
        <f t="shared" si="254"/>
        <v>7.097916338059429E-2</v>
      </c>
      <c r="AC103" s="34">
        <f t="shared" si="254"/>
        <v>8.9667449552432887E-2</v>
      </c>
      <c r="AD103" s="34">
        <f t="shared" si="254"/>
        <v>9.4012356758687188E-2</v>
      </c>
      <c r="AE103" s="34">
        <f t="shared" si="254"/>
        <v>0.11052823562369279</v>
      </c>
      <c r="AF103" s="16">
        <f t="shared" si="158"/>
        <v>0.10935036530785346</v>
      </c>
      <c r="AG103" s="16">
        <f t="shared" si="159"/>
        <v>0.21145049946988426</v>
      </c>
      <c r="AH103" s="16">
        <f t="shared" si="160"/>
        <v>0.305934013614166</v>
      </c>
      <c r="AI103" s="16">
        <f t="shared" si="161"/>
        <v>0.38824655609969644</v>
      </c>
      <c r="AJ103" s="16">
        <f t="shared" si="162"/>
        <v>0.4599324324105355</v>
      </c>
      <c r="AK103" s="16">
        <f t="shared" si="163"/>
        <v>0.52093928143799617</v>
      </c>
      <c r="AL103" s="16">
        <f t="shared" si="164"/>
        <v>0.578962241714711</v>
      </c>
      <c r="AM103" s="16">
        <f t="shared" si="165"/>
        <v>0.63481279468459284</v>
      </c>
      <c r="AN103" s="16">
        <f t="shared" si="166"/>
        <v>0.70579195806518713</v>
      </c>
      <c r="AO103" s="16">
        <f t="shared" si="167"/>
        <v>0.79545940761762002</v>
      </c>
      <c r="AP103" s="16">
        <f t="shared" si="168"/>
        <v>0.88947176437630726</v>
      </c>
      <c r="AQ103" s="16">
        <f t="shared" si="169"/>
        <v>1</v>
      </c>
    </row>
    <row r="104" spans="1:43" x14ac:dyDescent="0.25">
      <c r="A104" s="9"/>
      <c r="B104" s="3" t="s">
        <v>152</v>
      </c>
      <c r="C104" s="3" t="str">
        <f t="shared" si="212"/>
        <v>Saint-André - Repowering</v>
      </c>
      <c r="D104" s="3" cm="1">
        <f t="array" ref="D104">VLOOKUP($C104,BD!$C:$X,BD!G$1-1,FALSE)</f>
        <v>15</v>
      </c>
      <c r="E104" s="37">
        <v>3110</v>
      </c>
      <c r="F104" s="18">
        <f t="shared" si="143"/>
        <v>46650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9">
        <f t="shared" si="157"/>
        <v>0.99999999999999989</v>
      </c>
      <c r="T104" s="34">
        <f>T105</f>
        <v>0.11574089240102917</v>
      </c>
      <c r="U104" s="34">
        <f t="shared" ref="U104" si="255">U105</f>
        <v>0.10582764068116454</v>
      </c>
      <c r="V104" s="34">
        <f t="shared" ref="V104" si="256">V105</f>
        <v>9.2388526718646627E-2</v>
      </c>
      <c r="W104" s="34">
        <f t="shared" ref="W104" si="257">W105</f>
        <v>7.6113452025293196E-2</v>
      </c>
      <c r="X104" s="34">
        <f t="shared" ref="X104" si="258">X105</f>
        <v>7.0671382791693715E-2</v>
      </c>
      <c r="Y104" s="34">
        <f t="shared" ref="Y104" si="259">Y105</f>
        <v>5.7998771329988728E-2</v>
      </c>
      <c r="Z104" s="34">
        <f t="shared" ref="Z104" si="260">Z105</f>
        <v>5.5648229342277304E-2</v>
      </c>
      <c r="AA104" s="34">
        <f t="shared" ref="AA104" si="261">AA105</f>
        <v>5.4242958337091536E-2</v>
      </c>
      <c r="AB104" s="34">
        <f t="shared" ref="AB104" si="262">AB105</f>
        <v>6.8244141292814836E-2</v>
      </c>
      <c r="AC104" s="34">
        <f t="shared" ref="AC104" si="263">AC105</f>
        <v>9.2490743472450399E-2</v>
      </c>
      <c r="AD104" s="34">
        <f t="shared" ref="AD104" si="264">AD105</f>
        <v>9.7600645202002206E-2</v>
      </c>
      <c r="AE104" s="34">
        <f t="shared" ref="AE104" si="265">AE105</f>
        <v>0.11303261640554758</v>
      </c>
      <c r="AF104" s="16">
        <f t="shared" si="158"/>
        <v>0.11574089240102917</v>
      </c>
      <c r="AG104" s="16">
        <f t="shared" si="159"/>
        <v>0.22156853308219371</v>
      </c>
      <c r="AH104" s="16">
        <f t="shared" si="160"/>
        <v>0.31395705980084032</v>
      </c>
      <c r="AI104" s="16">
        <f t="shared" si="161"/>
        <v>0.3900705118261335</v>
      </c>
      <c r="AJ104" s="16">
        <f t="shared" si="162"/>
        <v>0.46074189461782722</v>
      </c>
      <c r="AK104" s="16">
        <f t="shared" si="163"/>
        <v>0.51874066594781598</v>
      </c>
      <c r="AL104" s="16">
        <f t="shared" si="164"/>
        <v>0.57438889529009329</v>
      </c>
      <c r="AM104" s="16">
        <f t="shared" si="165"/>
        <v>0.62863185362718488</v>
      </c>
      <c r="AN104" s="16">
        <f t="shared" si="166"/>
        <v>0.69687599491999974</v>
      </c>
      <c r="AO104" s="16">
        <f t="shared" si="167"/>
        <v>0.78936673839245008</v>
      </c>
      <c r="AP104" s="16">
        <f t="shared" si="168"/>
        <v>0.88696738359445226</v>
      </c>
      <c r="AQ104" s="16">
        <f t="shared" si="169"/>
        <v>0.99999999999999989</v>
      </c>
    </row>
    <row r="105" spans="1:43" x14ac:dyDescent="0.25">
      <c r="A105" s="9"/>
      <c r="B105" s="3" t="s">
        <v>149</v>
      </c>
      <c r="C105" s="3" t="str">
        <f t="shared" si="212"/>
        <v>Saint-André - off</v>
      </c>
      <c r="D105" s="3" cm="1">
        <f t="array" ref="D105">VLOOKUP($C105,BD!$C:$X,BD!G$1-1,FALSE)</f>
        <v>-11.5</v>
      </c>
      <c r="E105" s="18">
        <f>E71</f>
        <v>1765.2173043478265</v>
      </c>
      <c r="F105" s="18">
        <f t="shared" si="143"/>
        <v>-20299.999000000003</v>
      </c>
      <c r="G105" s="10">
        <f>G71</f>
        <v>2349.54</v>
      </c>
      <c r="H105" s="10">
        <f t="shared" ref="H105:R105" si="266">H71</f>
        <v>2148.3009999999999</v>
      </c>
      <c r="I105" s="10">
        <f t="shared" si="266"/>
        <v>1875.4870000000001</v>
      </c>
      <c r="J105" s="10">
        <f t="shared" si="266"/>
        <v>1545.1030000000001</v>
      </c>
      <c r="K105" s="10">
        <f t="shared" si="266"/>
        <v>1434.6289999999999</v>
      </c>
      <c r="L105" s="10">
        <f t="shared" si="266"/>
        <v>1177.375</v>
      </c>
      <c r="M105" s="10">
        <f t="shared" si="266"/>
        <v>1129.6590000000001</v>
      </c>
      <c r="N105" s="10">
        <f t="shared" si="266"/>
        <v>1101.1320000000001</v>
      </c>
      <c r="O105" s="10">
        <f t="shared" si="266"/>
        <v>1385.356</v>
      </c>
      <c r="P105" s="10">
        <f t="shared" si="266"/>
        <v>1877.5619999999999</v>
      </c>
      <c r="Q105" s="10">
        <f t="shared" si="266"/>
        <v>1981.2929999999999</v>
      </c>
      <c r="R105" s="10">
        <f t="shared" si="266"/>
        <v>2294.5619999999999</v>
      </c>
      <c r="S105" s="19">
        <f t="shared" si="157"/>
        <v>0.99999999999999989</v>
      </c>
      <c r="T105" s="34">
        <f>T71</f>
        <v>0.11574089240102917</v>
      </c>
      <c r="U105" s="34">
        <f t="shared" ref="U105:AE105" si="267">U71</f>
        <v>0.10582764068116454</v>
      </c>
      <c r="V105" s="34">
        <f t="shared" si="267"/>
        <v>9.2388526718646627E-2</v>
      </c>
      <c r="W105" s="34">
        <f t="shared" si="267"/>
        <v>7.6113452025293196E-2</v>
      </c>
      <c r="X105" s="34">
        <f t="shared" si="267"/>
        <v>7.0671382791693715E-2</v>
      </c>
      <c r="Y105" s="34">
        <f t="shared" si="267"/>
        <v>5.7998771329988728E-2</v>
      </c>
      <c r="Z105" s="34">
        <f t="shared" si="267"/>
        <v>5.5648229342277304E-2</v>
      </c>
      <c r="AA105" s="34">
        <f t="shared" si="267"/>
        <v>5.4242958337091536E-2</v>
      </c>
      <c r="AB105" s="34">
        <f t="shared" si="267"/>
        <v>6.8244141292814836E-2</v>
      </c>
      <c r="AC105" s="34">
        <f t="shared" si="267"/>
        <v>9.2490743472450399E-2</v>
      </c>
      <c r="AD105" s="34">
        <f t="shared" si="267"/>
        <v>9.7600645202002206E-2</v>
      </c>
      <c r="AE105" s="34">
        <f t="shared" si="267"/>
        <v>0.11303261640554758</v>
      </c>
      <c r="AF105" s="16">
        <f t="shared" si="158"/>
        <v>0.11574089240102917</v>
      </c>
      <c r="AG105" s="16">
        <f t="shared" si="159"/>
        <v>0.22156853308219371</v>
      </c>
      <c r="AH105" s="16">
        <f t="shared" si="160"/>
        <v>0.31395705980084032</v>
      </c>
      <c r="AI105" s="16">
        <f t="shared" si="161"/>
        <v>0.3900705118261335</v>
      </c>
      <c r="AJ105" s="16">
        <f t="shared" si="162"/>
        <v>0.46074189461782722</v>
      </c>
      <c r="AK105" s="16">
        <f t="shared" si="163"/>
        <v>0.51874066594781598</v>
      </c>
      <c r="AL105" s="16">
        <f t="shared" si="164"/>
        <v>0.57438889529009329</v>
      </c>
      <c r="AM105" s="16">
        <f t="shared" si="165"/>
        <v>0.62863185362718488</v>
      </c>
      <c r="AN105" s="16">
        <f t="shared" si="166"/>
        <v>0.69687599491999974</v>
      </c>
      <c r="AO105" s="16">
        <f t="shared" si="167"/>
        <v>0.78936673839245008</v>
      </c>
      <c r="AP105" s="16">
        <f t="shared" si="168"/>
        <v>0.88696738359445226</v>
      </c>
      <c r="AQ105" s="16">
        <f t="shared" si="169"/>
        <v>0.99999999999999989</v>
      </c>
    </row>
    <row r="106" spans="1:43" x14ac:dyDescent="0.25">
      <c r="A106" s="9"/>
      <c r="B106" s="3" t="s">
        <v>144</v>
      </c>
      <c r="C106" s="3" t="str">
        <f t="shared" si="212"/>
        <v>Bois Désiré</v>
      </c>
      <c r="D106" s="3" cm="1">
        <f t="array" ref="D106">VLOOKUP($C106,BD!$C:$X,BD!G$1-1,FALSE)</f>
        <v>10</v>
      </c>
      <c r="E106" s="39">
        <v>2736</v>
      </c>
      <c r="F106" s="18">
        <f t="shared" si="143"/>
        <v>27360</v>
      </c>
      <c r="G106" s="10"/>
      <c r="H106" s="2"/>
      <c r="I106" s="2"/>
      <c r="J106" s="2"/>
      <c r="K106" s="2"/>
      <c r="L106" s="2"/>
      <c r="M106" s="10"/>
      <c r="N106" s="2"/>
      <c r="O106" s="2"/>
      <c r="P106" s="2"/>
      <c r="Q106" s="2"/>
      <c r="R106" s="2"/>
      <c r="S106" s="19">
        <f t="shared" si="157"/>
        <v>1.0002000000000002</v>
      </c>
      <c r="T106" s="40">
        <v>9.7299999999999998E-2</v>
      </c>
      <c r="U106" s="40">
        <v>9.4899999999999998E-2</v>
      </c>
      <c r="V106" s="40">
        <v>8.9200000000000002E-2</v>
      </c>
      <c r="W106" s="40">
        <v>8.0399999999999999E-2</v>
      </c>
      <c r="X106" s="40">
        <v>7.6899999999999996E-2</v>
      </c>
      <c r="Y106" s="40">
        <v>7.22E-2</v>
      </c>
      <c r="Z106" s="40">
        <v>7.17E-2</v>
      </c>
      <c r="AA106" s="40">
        <v>6.9500000000000006E-2</v>
      </c>
      <c r="AB106" s="40">
        <v>7.7200000000000005E-2</v>
      </c>
      <c r="AC106" s="40">
        <v>8.8300000000000003E-2</v>
      </c>
      <c r="AD106" s="40">
        <v>8.8400000000000006E-2</v>
      </c>
      <c r="AE106" s="40">
        <v>9.4200000000000006E-2</v>
      </c>
      <c r="AF106" s="16">
        <f t="shared" si="158"/>
        <v>9.7299999999999998E-2</v>
      </c>
      <c r="AG106" s="16">
        <f t="shared" si="159"/>
        <v>0.19219999999999998</v>
      </c>
      <c r="AH106" s="16">
        <f t="shared" si="160"/>
        <v>0.28139999999999998</v>
      </c>
      <c r="AI106" s="16">
        <f t="shared" si="161"/>
        <v>0.36180000000000001</v>
      </c>
      <c r="AJ106" s="16">
        <f t="shared" si="162"/>
        <v>0.43869999999999998</v>
      </c>
      <c r="AK106" s="16">
        <f t="shared" si="163"/>
        <v>0.51090000000000002</v>
      </c>
      <c r="AL106" s="16">
        <f t="shared" si="164"/>
        <v>0.58260000000000001</v>
      </c>
      <c r="AM106" s="16">
        <f t="shared" si="165"/>
        <v>0.65210000000000001</v>
      </c>
      <c r="AN106" s="16">
        <f t="shared" si="166"/>
        <v>0.72930000000000006</v>
      </c>
      <c r="AO106" s="16">
        <f t="shared" si="167"/>
        <v>0.8176000000000001</v>
      </c>
      <c r="AP106" s="16">
        <f t="shared" si="168"/>
        <v>0.90600000000000014</v>
      </c>
      <c r="AQ106" s="16">
        <f t="shared" si="169"/>
        <v>1.0002000000000002</v>
      </c>
    </row>
    <row r="107" spans="1:43" x14ac:dyDescent="0.25">
      <c r="A107" s="3"/>
      <c r="B107" s="9" t="s">
        <v>123</v>
      </c>
      <c r="C107" s="3" t="str">
        <f t="shared" si="212"/>
        <v>Blanches Fosses</v>
      </c>
      <c r="D107" s="3" cm="1">
        <f t="array" ref="D107">VLOOKUP($C107,BD!$C:$X,BD!G$1-1,FALSE)</f>
        <v>11</v>
      </c>
      <c r="E107" s="39">
        <f>30604/D107</f>
        <v>2782.181818181818</v>
      </c>
      <c r="F107" s="18">
        <f t="shared" si="143"/>
        <v>30604</v>
      </c>
      <c r="G107" s="3"/>
      <c r="H107" s="12"/>
      <c r="I107" s="3"/>
      <c r="J107" s="5"/>
      <c r="K107" s="2"/>
      <c r="L107" s="8"/>
      <c r="M107" s="2"/>
      <c r="N107" s="3"/>
      <c r="O107" s="8"/>
      <c r="P107" s="3"/>
      <c r="Q107" s="5"/>
      <c r="R107" s="8"/>
      <c r="S107" s="19">
        <f t="shared" si="157"/>
        <v>1</v>
      </c>
      <c r="T107" s="40">
        <v>0.10893452576771084</v>
      </c>
      <c r="U107" s="40">
        <v>0.10079543008459947</v>
      </c>
      <c r="V107" s="40">
        <v>9.3752919149212702E-2</v>
      </c>
      <c r="W107" s="40">
        <v>7.9862845678034602E-2</v>
      </c>
      <c r="X107" s="40">
        <v>7.2211120993911929E-2</v>
      </c>
      <c r="Y107" s="40">
        <v>6.1878855815351373E-2</v>
      </c>
      <c r="Z107" s="40">
        <v>5.8467258822430444E-2</v>
      </c>
      <c r="AA107" s="40">
        <v>5.8101730573188931E-2</v>
      </c>
      <c r="AB107" s="40">
        <v>7.172374999492323E-2</v>
      </c>
      <c r="AC107" s="40">
        <v>9.324117960027456E-2</v>
      </c>
      <c r="AD107" s="40">
        <v>9.4630186947392364E-2</v>
      </c>
      <c r="AE107" s="40">
        <v>0.10640019657296959</v>
      </c>
      <c r="AF107" s="16">
        <f t="shared" si="158"/>
        <v>0.10893452576771084</v>
      </c>
      <c r="AG107" s="16">
        <f t="shared" si="159"/>
        <v>0.2097299558523103</v>
      </c>
      <c r="AH107" s="16">
        <f t="shared" si="160"/>
        <v>0.30348287500152299</v>
      </c>
      <c r="AI107" s="16">
        <f t="shared" si="161"/>
        <v>0.38334572067955758</v>
      </c>
      <c r="AJ107" s="16">
        <f t="shared" si="162"/>
        <v>0.45555684167346949</v>
      </c>
      <c r="AK107" s="16">
        <f t="shared" si="163"/>
        <v>0.5174356974888209</v>
      </c>
      <c r="AL107" s="16">
        <f t="shared" si="164"/>
        <v>0.57590295631125132</v>
      </c>
      <c r="AM107" s="16">
        <f t="shared" si="165"/>
        <v>0.63400468688444023</v>
      </c>
      <c r="AN107" s="16">
        <f t="shared" si="166"/>
        <v>0.70572843687936349</v>
      </c>
      <c r="AO107" s="16">
        <f t="shared" si="167"/>
        <v>0.79896961647963805</v>
      </c>
      <c r="AP107" s="16">
        <f t="shared" si="168"/>
        <v>0.89359980342703038</v>
      </c>
      <c r="AQ107" s="16">
        <f t="shared" si="169"/>
        <v>1</v>
      </c>
    </row>
    <row r="108" spans="1:43" x14ac:dyDescent="0.25">
      <c r="A108" s="3"/>
      <c r="B108" s="9" t="s">
        <v>141</v>
      </c>
      <c r="C108" s="3" t="str">
        <f t="shared" si="212"/>
        <v>Bois Ricart - Breteuil</v>
      </c>
      <c r="D108" s="3" cm="1">
        <f t="array" ref="D108">VLOOKUP($C108,BD!$C:$X,BD!G$1-1,FALSE)</f>
        <v>15</v>
      </c>
      <c r="E108" s="39">
        <v>2225</v>
      </c>
      <c r="F108" s="18">
        <f t="shared" si="143"/>
        <v>33375</v>
      </c>
      <c r="G108" s="3"/>
      <c r="H108" s="12"/>
      <c r="I108" s="3"/>
      <c r="J108" s="5"/>
      <c r="K108" s="2"/>
      <c r="L108" s="8"/>
      <c r="M108" s="2"/>
      <c r="N108" s="3"/>
      <c r="O108" s="8"/>
      <c r="P108" s="3"/>
      <c r="Q108" s="5"/>
      <c r="R108" s="8"/>
      <c r="S108" s="19">
        <f t="shared" si="157"/>
        <v>1.0002000000000002</v>
      </c>
      <c r="T108" s="40">
        <v>9.7299999999999998E-2</v>
      </c>
      <c r="U108" s="40">
        <v>9.4899999999999998E-2</v>
      </c>
      <c r="V108" s="40">
        <v>8.9200000000000002E-2</v>
      </c>
      <c r="W108" s="40">
        <v>8.0399999999999999E-2</v>
      </c>
      <c r="X108" s="40">
        <v>7.6899999999999996E-2</v>
      </c>
      <c r="Y108" s="40">
        <v>7.22E-2</v>
      </c>
      <c r="Z108" s="40">
        <v>7.17E-2</v>
      </c>
      <c r="AA108" s="40">
        <v>6.9500000000000006E-2</v>
      </c>
      <c r="AB108" s="40">
        <v>7.7200000000000005E-2</v>
      </c>
      <c r="AC108" s="40">
        <v>8.8300000000000003E-2</v>
      </c>
      <c r="AD108" s="40">
        <v>8.8400000000000006E-2</v>
      </c>
      <c r="AE108" s="40">
        <v>9.4200000000000006E-2</v>
      </c>
      <c r="AF108" s="16">
        <f t="shared" si="158"/>
        <v>9.7299999999999998E-2</v>
      </c>
      <c r="AG108" s="16">
        <f t="shared" si="159"/>
        <v>0.19219999999999998</v>
      </c>
      <c r="AH108" s="16">
        <f t="shared" si="160"/>
        <v>0.28139999999999998</v>
      </c>
      <c r="AI108" s="16">
        <f t="shared" si="161"/>
        <v>0.36180000000000001</v>
      </c>
      <c r="AJ108" s="16">
        <f t="shared" si="162"/>
        <v>0.43869999999999998</v>
      </c>
      <c r="AK108" s="16">
        <f t="shared" si="163"/>
        <v>0.51090000000000002</v>
      </c>
      <c r="AL108" s="16">
        <f t="shared" si="164"/>
        <v>0.58260000000000001</v>
      </c>
      <c r="AM108" s="16">
        <f t="shared" si="165"/>
        <v>0.65210000000000001</v>
      </c>
      <c r="AN108" s="16">
        <f t="shared" si="166"/>
        <v>0.72930000000000006</v>
      </c>
      <c r="AO108" s="16">
        <f t="shared" si="167"/>
        <v>0.8176000000000001</v>
      </c>
      <c r="AP108" s="16">
        <f t="shared" si="168"/>
        <v>0.90600000000000014</v>
      </c>
      <c r="AQ108" s="16">
        <f t="shared" si="169"/>
        <v>1.0002000000000002</v>
      </c>
    </row>
    <row r="109" spans="1:43" ht="19.5" x14ac:dyDescent="0.25">
      <c r="A109" s="3"/>
      <c r="B109" s="9" t="s">
        <v>136</v>
      </c>
      <c r="C109" s="3" t="str">
        <f t="shared" si="212"/>
        <v>Parc Eolien du Bois des Fontaines</v>
      </c>
      <c r="D109" s="3" cm="1">
        <f t="array" ref="D109">VLOOKUP($C109,BD!$C:$X,BD!G$1-1,FALSE)</f>
        <v>25.2</v>
      </c>
      <c r="E109" s="39">
        <f>43166/21</f>
        <v>2055.5238095238096</v>
      </c>
      <c r="F109" s="18">
        <f t="shared" si="143"/>
        <v>51799.200000000004</v>
      </c>
      <c r="G109" s="3"/>
      <c r="H109" s="12"/>
      <c r="I109" s="3"/>
      <c r="J109" s="3"/>
      <c r="K109" s="2"/>
      <c r="L109" s="8"/>
      <c r="M109" s="2"/>
      <c r="N109" s="3"/>
      <c r="O109" s="8"/>
      <c r="P109" s="3"/>
      <c r="Q109" s="5"/>
      <c r="R109" s="8"/>
      <c r="S109" s="19">
        <f t="shared" si="157"/>
        <v>1.0000000000000002</v>
      </c>
      <c r="T109" s="34">
        <f>T100</f>
        <v>0.11306200000000001</v>
      </c>
      <c r="U109" s="34">
        <f t="shared" ref="U109:AE109" si="268">U100</f>
        <v>0.10582200000000001</v>
      </c>
      <c r="V109" s="34">
        <f t="shared" si="268"/>
        <v>9.2763191489361713E-2</v>
      </c>
      <c r="W109" s="34">
        <f t="shared" si="268"/>
        <v>8.0294340425531921E-2</v>
      </c>
      <c r="X109" s="34">
        <f t="shared" si="268"/>
        <v>7.2491234042553213E-2</v>
      </c>
      <c r="Y109" s="34">
        <f t="shared" si="268"/>
        <v>5.8788851063829799E-2</v>
      </c>
      <c r="Z109" s="34">
        <f t="shared" si="268"/>
        <v>5.6911829787234053E-2</v>
      </c>
      <c r="AA109" s="34">
        <f t="shared" si="268"/>
        <v>5.3077319148936181E-2</v>
      </c>
      <c r="AB109" s="34">
        <f t="shared" si="268"/>
        <v>6.8200851063829795E-2</v>
      </c>
      <c r="AC109" s="34">
        <f t="shared" si="268"/>
        <v>8.8982297872340438E-2</v>
      </c>
      <c r="AD109" s="34">
        <f t="shared" si="268"/>
        <v>9.5686000000000021E-2</v>
      </c>
      <c r="AE109" s="34">
        <f t="shared" si="268"/>
        <v>0.11392008510638299</v>
      </c>
      <c r="AF109" s="16">
        <f t="shared" si="158"/>
        <v>0.11306200000000001</v>
      </c>
      <c r="AG109" s="16">
        <f t="shared" si="159"/>
        <v>0.21888400000000002</v>
      </c>
      <c r="AH109" s="16">
        <f t="shared" si="160"/>
        <v>0.31164719148936171</v>
      </c>
      <c r="AI109" s="16">
        <f t="shared" si="161"/>
        <v>0.39194153191489361</v>
      </c>
      <c r="AJ109" s="16">
        <f t="shared" si="162"/>
        <v>0.46443276595744681</v>
      </c>
      <c r="AK109" s="16">
        <f t="shared" si="163"/>
        <v>0.52322161702127656</v>
      </c>
      <c r="AL109" s="16">
        <f t="shared" si="164"/>
        <v>0.58013344680851064</v>
      </c>
      <c r="AM109" s="16">
        <f t="shared" si="165"/>
        <v>0.63321076595744685</v>
      </c>
      <c r="AN109" s="16">
        <f t="shared" si="166"/>
        <v>0.70141161702127663</v>
      </c>
      <c r="AO109" s="16">
        <f t="shared" si="167"/>
        <v>0.7903939148936171</v>
      </c>
      <c r="AP109" s="16">
        <f t="shared" si="168"/>
        <v>0.88607991489361715</v>
      </c>
      <c r="AQ109" s="16">
        <f t="shared" si="169"/>
        <v>1.0000000000000002</v>
      </c>
    </row>
    <row r="110" spans="1:43" x14ac:dyDescent="0.25">
      <c r="A110" s="3"/>
      <c r="B110" s="9" t="s">
        <v>145</v>
      </c>
      <c r="C110" s="3" t="str">
        <f t="shared" si="212"/>
        <v>Coucouron</v>
      </c>
      <c r="D110" s="3" cm="1">
        <f t="array" ref="D110">VLOOKUP($C110,BD!$C:$X,BD!G$1-1,FALSE)</f>
        <v>10</v>
      </c>
      <c r="E110" s="39">
        <v>1500</v>
      </c>
      <c r="F110" s="18">
        <f t="shared" si="143"/>
        <v>15000</v>
      </c>
      <c r="G110" s="3"/>
      <c r="H110" s="12"/>
      <c r="I110" s="3"/>
      <c r="J110" s="3"/>
      <c r="K110" s="2"/>
      <c r="L110" s="8"/>
      <c r="M110" s="2"/>
      <c r="N110" s="3"/>
      <c r="O110" s="8"/>
      <c r="P110" s="3"/>
      <c r="Q110" s="5"/>
      <c r="R110" s="8"/>
      <c r="S110" s="19">
        <f t="shared" si="157"/>
        <v>0.99999999999999989</v>
      </c>
      <c r="T110" s="40">
        <v>3.6385126293087815E-2</v>
      </c>
      <c r="U110" s="40">
        <v>5.1277319768455343E-2</v>
      </c>
      <c r="V110" s="40">
        <v>8.4388867273976639E-2</v>
      </c>
      <c r="W110" s="40">
        <v>9.6767684198536638E-2</v>
      </c>
      <c r="X110" s="40">
        <v>0.12082492610029093</v>
      </c>
      <c r="Y110" s="40">
        <v>0.13015652936395966</v>
      </c>
      <c r="Z110" s="40">
        <v>0.13792928610542474</v>
      </c>
      <c r="AA110" s="40">
        <v>0.12099192324349189</v>
      </c>
      <c r="AB110" s="40">
        <v>9.0113154791156627E-2</v>
      </c>
      <c r="AC110" s="40">
        <v>6.1669335460907922E-2</v>
      </c>
      <c r="AD110" s="40">
        <v>3.8301055618438481E-2</v>
      </c>
      <c r="AE110" s="40">
        <v>3.1194791782273145E-2</v>
      </c>
      <c r="AF110" s="16">
        <f t="shared" ref="AF110" si="269">T110</f>
        <v>3.6385126293087815E-2</v>
      </c>
      <c r="AG110" s="16">
        <f t="shared" ref="AG110" si="270">AF110+U110</f>
        <v>8.7662446061543164E-2</v>
      </c>
      <c r="AH110" s="16">
        <f t="shared" ref="AH110" si="271">AG110+V110</f>
        <v>0.17205131333551982</v>
      </c>
      <c r="AI110" s="16">
        <f t="shared" ref="AI110" si="272">AH110+W110</f>
        <v>0.26881899753405647</v>
      </c>
      <c r="AJ110" s="16">
        <f t="shared" ref="AJ110" si="273">AI110+X110</f>
        <v>0.38964392363434741</v>
      </c>
      <c r="AK110" s="16">
        <f t="shared" ref="AK110" si="274">AJ110+Y110</f>
        <v>0.51980045299830713</v>
      </c>
      <c r="AL110" s="16">
        <f t="shared" ref="AL110" si="275">AK110+Z110</f>
        <v>0.65772973910373189</v>
      </c>
      <c r="AM110" s="16">
        <f t="shared" ref="AM110" si="276">AL110+AA110</f>
        <v>0.77872166234722373</v>
      </c>
      <c r="AN110" s="16">
        <f t="shared" ref="AN110" si="277">AM110+AB110</f>
        <v>0.8688348171383804</v>
      </c>
      <c r="AO110" s="16">
        <f t="shared" ref="AO110" si="278">AN110+AC110</f>
        <v>0.93050415259928831</v>
      </c>
      <c r="AP110" s="16">
        <f t="shared" ref="AP110" si="279">AO110+AD110</f>
        <v>0.96880520821772675</v>
      </c>
      <c r="AQ110" s="16">
        <f t="shared" ref="AQ110" si="280">AP110+AE110</f>
        <v>0.99999999999999989</v>
      </c>
    </row>
    <row r="111" spans="1:43" x14ac:dyDescent="0.25">
      <c r="A111" s="3"/>
      <c r="B111" s="3" t="s">
        <v>146</v>
      </c>
      <c r="C111" s="3" t="str">
        <f t="shared" si="212"/>
        <v>Caumont Chériennes</v>
      </c>
      <c r="D111" s="3" cm="1">
        <f t="array" ref="D111">VLOOKUP($C111,BD!$C:$X,BD!G$1-1,FALSE)</f>
        <v>14.4</v>
      </c>
      <c r="E111" s="39">
        <f>39931/14.4</f>
        <v>2772.9861111111109</v>
      </c>
      <c r="F111" s="18">
        <f t="shared" si="143"/>
        <v>39931</v>
      </c>
      <c r="G111" s="3"/>
      <c r="H111" s="3"/>
      <c r="I111" s="3"/>
      <c r="J111" s="3"/>
      <c r="K111" s="2"/>
      <c r="L111" s="8"/>
      <c r="M111" s="2"/>
      <c r="N111" s="3"/>
      <c r="O111" s="8"/>
      <c r="P111" s="3"/>
      <c r="Q111" s="5"/>
      <c r="R111" s="8"/>
      <c r="S111" s="19">
        <f t="shared" si="157"/>
        <v>1</v>
      </c>
      <c r="T111" s="40">
        <v>0.11499282324961732</v>
      </c>
      <c r="U111" s="40">
        <v>0.10390588913447626</v>
      </c>
      <c r="V111" s="40">
        <v>9.1736716331306298E-2</v>
      </c>
      <c r="W111" s="40">
        <v>7.6176528972312252E-2</v>
      </c>
      <c r="X111" s="40">
        <v>7.0140042067972988E-2</v>
      </c>
      <c r="Y111" s="40">
        <v>5.9678401417026461E-2</v>
      </c>
      <c r="Z111" s="40">
        <v>5.6046889374973763E-2</v>
      </c>
      <c r="AA111" s="40">
        <v>5.5541844653893592E-2</v>
      </c>
      <c r="AB111" s="40">
        <v>6.9586897849647084E-2</v>
      </c>
      <c r="AC111" s="40">
        <v>9.2867054516580977E-2</v>
      </c>
      <c r="AD111" s="40">
        <v>9.7821302732891274E-2</v>
      </c>
      <c r="AE111" s="40">
        <v>0.11150560969930182</v>
      </c>
      <c r="AF111" s="16">
        <f t="shared" si="158"/>
        <v>0.11499282324961732</v>
      </c>
      <c r="AG111" s="16">
        <f t="shared" si="159"/>
        <v>0.21889871238409359</v>
      </c>
      <c r="AH111" s="16">
        <f t="shared" si="160"/>
        <v>0.3106354287153999</v>
      </c>
      <c r="AI111" s="16">
        <f t="shared" si="161"/>
        <v>0.38681195768771215</v>
      </c>
      <c r="AJ111" s="16">
        <f t="shared" si="162"/>
        <v>0.45695199975568512</v>
      </c>
      <c r="AK111" s="16">
        <f t="shared" si="163"/>
        <v>0.51663040117271164</v>
      </c>
      <c r="AL111" s="16">
        <f t="shared" si="164"/>
        <v>0.57267729054768535</v>
      </c>
      <c r="AM111" s="16">
        <f t="shared" si="165"/>
        <v>0.6282191352015789</v>
      </c>
      <c r="AN111" s="16">
        <f t="shared" si="166"/>
        <v>0.69780603305122602</v>
      </c>
      <c r="AO111" s="16">
        <f t="shared" si="167"/>
        <v>0.79067308756780696</v>
      </c>
      <c r="AP111" s="16">
        <f t="shared" si="168"/>
        <v>0.88849439030069821</v>
      </c>
      <c r="AQ111" s="16">
        <f t="shared" si="169"/>
        <v>1</v>
      </c>
    </row>
    <row r="112" spans="1:43" x14ac:dyDescent="0.25">
      <c r="A112" s="3"/>
      <c r="B112" s="3" t="s">
        <v>158</v>
      </c>
      <c r="C112" s="3" t="str">
        <f t="shared" si="212"/>
        <v>Helfaut</v>
      </c>
      <c r="D112" s="3" cm="1">
        <f t="array" ref="D112">VLOOKUP($C112,BD!$C:$X,BD!G$1-1,FALSE)</f>
        <v>20</v>
      </c>
      <c r="E112" s="39">
        <f>30452/12.6</f>
        <v>2416.8253968253971</v>
      </c>
      <c r="F112" s="18">
        <f t="shared" si="143"/>
        <v>48336.507936507944</v>
      </c>
      <c r="G112" s="3"/>
      <c r="H112" s="3"/>
      <c r="I112" s="3"/>
      <c r="J112" s="3"/>
      <c r="K112" s="2"/>
      <c r="L112" s="8"/>
      <c r="M112" s="2"/>
      <c r="N112" s="3"/>
      <c r="O112" s="8"/>
      <c r="P112" s="3"/>
      <c r="Q112" s="5"/>
      <c r="R112" s="8"/>
      <c r="S112" s="19">
        <f t="shared" si="157"/>
        <v>1</v>
      </c>
      <c r="T112" s="40">
        <v>0.11499282324961732</v>
      </c>
      <c r="U112" s="40">
        <v>0.10390588913447626</v>
      </c>
      <c r="V112" s="40">
        <v>9.1736716331306298E-2</v>
      </c>
      <c r="W112" s="40">
        <v>7.6176528972312252E-2</v>
      </c>
      <c r="X112" s="40">
        <v>7.0140042067972988E-2</v>
      </c>
      <c r="Y112" s="40">
        <v>5.9678401417026461E-2</v>
      </c>
      <c r="Z112" s="40">
        <v>5.6046889374973763E-2</v>
      </c>
      <c r="AA112" s="40">
        <v>5.5541844653893592E-2</v>
      </c>
      <c r="AB112" s="40">
        <v>6.9586897849647084E-2</v>
      </c>
      <c r="AC112" s="40">
        <v>9.2867054516580977E-2</v>
      </c>
      <c r="AD112" s="40">
        <v>9.7821302732891274E-2</v>
      </c>
      <c r="AE112" s="40">
        <v>0.11150560969930182</v>
      </c>
      <c r="AF112" s="16">
        <f t="shared" si="158"/>
        <v>0.11499282324961732</v>
      </c>
      <c r="AG112" s="16">
        <f t="shared" si="159"/>
        <v>0.21889871238409359</v>
      </c>
      <c r="AH112" s="16">
        <f t="shared" si="160"/>
        <v>0.3106354287153999</v>
      </c>
      <c r="AI112" s="16">
        <f t="shared" si="161"/>
        <v>0.38681195768771215</v>
      </c>
      <c r="AJ112" s="16">
        <f t="shared" si="162"/>
        <v>0.45695199975568512</v>
      </c>
      <c r="AK112" s="16">
        <f t="shared" si="163"/>
        <v>0.51663040117271164</v>
      </c>
      <c r="AL112" s="16">
        <f t="shared" si="164"/>
        <v>0.57267729054768535</v>
      </c>
      <c r="AM112" s="16">
        <f t="shared" si="165"/>
        <v>0.6282191352015789</v>
      </c>
      <c r="AN112" s="16">
        <f t="shared" si="166"/>
        <v>0.69780603305122602</v>
      </c>
      <c r="AO112" s="16">
        <f t="shared" si="167"/>
        <v>0.79067308756780696</v>
      </c>
      <c r="AP112" s="16">
        <f t="shared" si="168"/>
        <v>0.88849439030069821</v>
      </c>
      <c r="AQ112" s="16">
        <f t="shared" si="169"/>
        <v>1</v>
      </c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2"/>
      <c r="L113" s="8"/>
      <c r="M113" s="2"/>
      <c r="N113" s="3"/>
      <c r="O113" s="8"/>
      <c r="P113" s="3"/>
      <c r="Q113" s="5"/>
      <c r="R113" s="8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"/>
      <c r="L114" s="8"/>
      <c r="M114" s="2"/>
      <c r="N114" s="3"/>
      <c r="O114" s="8"/>
      <c r="P114" s="3"/>
      <c r="Q114" s="5"/>
      <c r="R114" s="8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2"/>
      <c r="L115" s="8"/>
      <c r="M115" s="2"/>
      <c r="N115" s="3"/>
      <c r="O115" s="8"/>
      <c r="P115" s="3"/>
      <c r="Q115" s="5"/>
      <c r="R115" s="8"/>
      <c r="T115" s="20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2"/>
      <c r="L116" s="8"/>
      <c r="M116" s="2"/>
      <c r="N116" s="3"/>
      <c r="O116" s="8"/>
      <c r="P116" s="3"/>
      <c r="Q116" s="5"/>
      <c r="R116" s="8"/>
      <c r="T116" s="20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/>
      <c r="L117" s="8"/>
      <c r="M117" s="2"/>
      <c r="N117" s="3"/>
      <c r="O117" s="8"/>
      <c r="P117" s="3"/>
      <c r="Q117" s="5"/>
      <c r="R117" s="8"/>
      <c r="T117" s="20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2"/>
      <c r="L118" s="8"/>
      <c r="M118" s="2"/>
      <c r="N118" s="3"/>
      <c r="O118" s="8"/>
      <c r="P118" s="3"/>
      <c r="Q118" s="5"/>
      <c r="R118" s="8"/>
      <c r="T118" s="20"/>
    </row>
    <row r="119" spans="1:20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2"/>
      <c r="P119" s="3"/>
      <c r="T119" s="20"/>
    </row>
    <row r="120" spans="1:20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2"/>
      <c r="P120" s="3"/>
      <c r="T120" s="20"/>
    </row>
    <row r="121" spans="1:20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2"/>
      <c r="P121" s="3"/>
      <c r="T121" s="20"/>
    </row>
    <row r="122" spans="1:20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2"/>
      <c r="P122" s="3"/>
      <c r="T122" s="20"/>
    </row>
    <row r="123" spans="1:20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2"/>
      <c r="P123" s="3"/>
      <c r="T123" s="20"/>
    </row>
    <row r="124" spans="1:20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2"/>
      <c r="P124" s="3"/>
      <c r="T124" s="20"/>
    </row>
    <row r="125" spans="1:20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2"/>
      <c r="P125" s="3"/>
      <c r="T125" s="20"/>
    </row>
    <row r="126" spans="1:20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2"/>
      <c r="P126" s="3"/>
      <c r="T126" s="20"/>
    </row>
    <row r="127" spans="1:20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2"/>
      <c r="P127" s="3"/>
    </row>
    <row r="128" spans="1:20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2"/>
      <c r="P128" s="3"/>
    </row>
    <row r="129" spans="2:1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2"/>
      <c r="L129" s="11"/>
      <c r="M129" s="11"/>
      <c r="P129" s="3"/>
    </row>
    <row r="130" spans="2:1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2"/>
      <c r="L130" s="11"/>
      <c r="M130" s="11"/>
      <c r="P130" s="3"/>
    </row>
    <row r="131" spans="2:1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2"/>
      <c r="L131" s="11"/>
      <c r="M131" s="11"/>
      <c r="P131" s="3"/>
    </row>
    <row r="132" spans="2:1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2"/>
      <c r="L132" s="11"/>
      <c r="M132" s="11"/>
      <c r="P132" s="3"/>
    </row>
    <row r="133" spans="2:1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2"/>
      <c r="P133" s="3"/>
    </row>
    <row r="134" spans="2:16" x14ac:dyDescent="0.25">
      <c r="B134" s="3"/>
      <c r="C134" s="3"/>
      <c r="D134" s="3"/>
      <c r="E134" s="3"/>
      <c r="F134" s="3"/>
      <c r="G134" s="3"/>
      <c r="H134" s="3"/>
      <c r="I134" s="3"/>
      <c r="J134" s="3"/>
      <c r="P134" s="3"/>
    </row>
    <row r="135" spans="2:16" x14ac:dyDescent="0.25">
      <c r="B135" s="3"/>
      <c r="C135" s="3"/>
      <c r="D135" s="3"/>
      <c r="E135" s="3"/>
      <c r="F135" s="3"/>
      <c r="G135" s="3"/>
      <c r="H135" s="3"/>
      <c r="I135" s="3"/>
      <c r="J135" s="3"/>
      <c r="P135" s="3"/>
    </row>
    <row r="136" spans="2:16" x14ac:dyDescent="0.25">
      <c r="B136" s="3"/>
      <c r="C136" s="3"/>
      <c r="D136" s="3"/>
      <c r="E136" s="3"/>
      <c r="F136" s="3"/>
      <c r="G136" s="3"/>
      <c r="H136" s="3"/>
      <c r="I136" s="3"/>
      <c r="J136" s="3"/>
      <c r="P136" s="3"/>
    </row>
    <row r="137" spans="2:16" x14ac:dyDescent="0.25">
      <c r="B137" s="3"/>
      <c r="C137" s="3"/>
      <c r="D137" s="3"/>
      <c r="E137" s="3"/>
      <c r="F137" s="3"/>
      <c r="G137" s="3"/>
      <c r="H137" s="3"/>
      <c r="I137" s="3"/>
      <c r="J137" s="3"/>
      <c r="P137" s="3"/>
    </row>
    <row r="138" spans="2:16" x14ac:dyDescent="0.25">
      <c r="B138" s="3"/>
      <c r="C138" s="3"/>
      <c r="D138" s="3"/>
      <c r="E138" s="3"/>
      <c r="F138" s="3"/>
      <c r="G138" s="3"/>
      <c r="H138" s="3"/>
      <c r="I138" s="3"/>
      <c r="J138" s="3"/>
      <c r="P138" s="3"/>
    </row>
    <row r="139" spans="2:16" x14ac:dyDescent="0.25">
      <c r="B139" s="3"/>
      <c r="C139" s="3"/>
      <c r="D139" s="3"/>
      <c r="E139" s="3"/>
      <c r="F139" s="3"/>
      <c r="G139" s="3"/>
      <c r="H139" s="3"/>
      <c r="I139" s="3"/>
      <c r="J139" s="3"/>
      <c r="P139" s="3"/>
    </row>
    <row r="140" spans="2:16" x14ac:dyDescent="0.25">
      <c r="B140" s="3"/>
      <c r="C140" s="3"/>
      <c r="D140" s="3"/>
      <c r="E140" s="3"/>
      <c r="F140" s="3"/>
      <c r="G140" s="3"/>
      <c r="H140" s="3"/>
      <c r="I140" s="3"/>
      <c r="J140" s="3"/>
      <c r="P140" s="3"/>
    </row>
    <row r="141" spans="2:16" x14ac:dyDescent="0.25">
      <c r="B141" s="3"/>
      <c r="C141" s="3"/>
      <c r="D141" s="3"/>
      <c r="E141" s="3"/>
      <c r="F141" s="3"/>
      <c r="G141" s="3"/>
      <c r="H141" s="3"/>
      <c r="I141" s="3"/>
      <c r="J141" s="3"/>
      <c r="P141" s="3"/>
    </row>
    <row r="142" spans="2:16" x14ac:dyDescent="0.25">
      <c r="B142" s="3"/>
      <c r="C142" s="3"/>
      <c r="D142" s="3"/>
      <c r="E142" s="3"/>
      <c r="F142" s="3"/>
      <c r="G142" s="3"/>
      <c r="H142" s="3"/>
      <c r="I142" s="3"/>
      <c r="J142" s="3"/>
      <c r="P142" s="3"/>
    </row>
    <row r="143" spans="2:16" x14ac:dyDescent="0.25">
      <c r="B143" s="3"/>
      <c r="C143" s="3"/>
      <c r="D143" s="3"/>
      <c r="E143" s="3"/>
      <c r="F143" s="3"/>
      <c r="G143" s="3"/>
      <c r="H143" s="3"/>
      <c r="I143" s="3"/>
      <c r="J143" s="3"/>
      <c r="P143" s="3"/>
    </row>
    <row r="144" spans="2:16" x14ac:dyDescent="0.25">
      <c r="B144" s="3"/>
      <c r="C144" s="3"/>
      <c r="D144" s="3"/>
      <c r="E144" s="3"/>
      <c r="F144" s="3"/>
      <c r="G144" s="3"/>
      <c r="H144" s="3"/>
      <c r="I144" s="3"/>
      <c r="J144" s="3"/>
      <c r="P144" s="3"/>
    </row>
    <row r="145" spans="2:16" x14ac:dyDescent="0.25">
      <c r="B145" s="3"/>
      <c r="C145" s="3"/>
      <c r="D145" s="3"/>
      <c r="E145" s="3"/>
      <c r="F145" s="3"/>
      <c r="G145" s="3"/>
      <c r="H145" s="3"/>
      <c r="I145" s="3"/>
      <c r="J145" s="3"/>
      <c r="P145" s="3"/>
    </row>
    <row r="146" spans="2:16" x14ac:dyDescent="0.25">
      <c r="B146" s="3"/>
      <c r="C146" s="3"/>
      <c r="D146" s="3"/>
      <c r="E146" s="3"/>
      <c r="F146" s="3"/>
      <c r="G146" s="3"/>
      <c r="H146" s="3"/>
      <c r="I146" s="3"/>
      <c r="J146" s="3"/>
      <c r="P146" s="3"/>
    </row>
    <row r="147" spans="2:16" x14ac:dyDescent="0.25">
      <c r="B147" s="3"/>
      <c r="C147" s="3"/>
      <c r="D147" s="3"/>
      <c r="E147" s="3"/>
      <c r="F147" s="3"/>
      <c r="G147" s="3"/>
      <c r="H147" s="3"/>
      <c r="I147" s="3"/>
      <c r="J147" s="3"/>
      <c r="P147" s="3"/>
    </row>
    <row r="148" spans="2:16" x14ac:dyDescent="0.25">
      <c r="B148" s="3"/>
      <c r="C148" s="3"/>
      <c r="D148" s="3"/>
      <c r="E148" s="3"/>
      <c r="F148" s="3"/>
      <c r="G148" s="3"/>
      <c r="H148" s="3"/>
      <c r="I148" s="3"/>
      <c r="J148" s="3"/>
      <c r="P148" s="3"/>
    </row>
    <row r="149" spans="2:16" x14ac:dyDescent="0.25">
      <c r="B149" s="3"/>
      <c r="C149" s="3"/>
      <c r="D149" s="3"/>
      <c r="E149" s="3"/>
      <c r="F149" s="3"/>
      <c r="G149" s="3"/>
      <c r="H149" s="3"/>
      <c r="I149" s="3"/>
      <c r="J149" s="3"/>
      <c r="P149" s="3"/>
    </row>
    <row r="150" spans="2:16" x14ac:dyDescent="0.25">
      <c r="B150" s="3"/>
      <c r="C150" s="3"/>
      <c r="D150" s="3"/>
      <c r="E150" s="3"/>
      <c r="F150" s="3"/>
      <c r="G150" s="3"/>
      <c r="H150" s="3"/>
      <c r="I150" s="3"/>
      <c r="J150" s="3"/>
      <c r="P150" s="3"/>
    </row>
    <row r="151" spans="2:16" x14ac:dyDescent="0.25">
      <c r="B151" s="3"/>
      <c r="C151" s="3"/>
      <c r="D151" s="3"/>
      <c r="E151" s="3"/>
      <c r="F151" s="3"/>
      <c r="G151" s="3"/>
      <c r="H151" s="3"/>
      <c r="I151" s="3"/>
      <c r="J151" s="3"/>
      <c r="P151" s="3"/>
    </row>
    <row r="152" spans="2:16" x14ac:dyDescent="0.25">
      <c r="B152" s="3"/>
      <c r="C152" s="3"/>
      <c r="D152" s="3"/>
      <c r="E152" s="3"/>
      <c r="F152" s="3"/>
      <c r="G152" s="3"/>
      <c r="H152" s="3"/>
      <c r="I152" s="3"/>
      <c r="J152" s="3"/>
      <c r="P152" s="3"/>
    </row>
    <row r="153" spans="2:16" x14ac:dyDescent="0.25">
      <c r="B153" s="3"/>
      <c r="C153" s="3"/>
      <c r="D153" s="3"/>
      <c r="E153" s="3"/>
      <c r="F153" s="3"/>
      <c r="G153" s="3"/>
      <c r="H153" s="3"/>
      <c r="I153" s="3"/>
      <c r="J153" s="3"/>
      <c r="P153" s="3"/>
    </row>
    <row r="154" spans="2:16" x14ac:dyDescent="0.25">
      <c r="B154" s="3"/>
      <c r="C154" s="3"/>
      <c r="D154" s="3"/>
      <c r="E154" s="3"/>
      <c r="F154" s="3"/>
      <c r="G154" s="3"/>
      <c r="H154" s="3"/>
      <c r="I154" s="3"/>
      <c r="J154" s="3"/>
      <c r="P154" s="3"/>
    </row>
    <row r="155" spans="2:16" x14ac:dyDescent="0.25">
      <c r="B155" s="3"/>
      <c r="C155" s="3"/>
      <c r="D155" s="3"/>
      <c r="E155" s="3"/>
      <c r="F155" s="3"/>
      <c r="G155" s="3"/>
      <c r="H155" s="3"/>
      <c r="I155" s="3"/>
      <c r="J155" s="3"/>
      <c r="P155" s="3"/>
    </row>
    <row r="156" spans="2:16" x14ac:dyDescent="0.25">
      <c r="B156" s="3"/>
      <c r="C156" s="3"/>
      <c r="D156" s="3"/>
      <c r="E156" s="3"/>
      <c r="F156" s="3"/>
      <c r="G156" s="3"/>
      <c r="H156" s="3"/>
      <c r="I156" s="3"/>
      <c r="J156" s="3"/>
      <c r="P156" s="3"/>
    </row>
    <row r="157" spans="2:16" x14ac:dyDescent="0.25">
      <c r="B157" s="3"/>
      <c r="C157" s="3"/>
      <c r="D157" s="3"/>
      <c r="E157" s="3"/>
      <c r="F157" s="3"/>
      <c r="G157" s="3"/>
      <c r="H157" s="3"/>
      <c r="I157" s="3"/>
      <c r="J157" s="3"/>
      <c r="P157" s="3"/>
    </row>
    <row r="158" spans="2:16" x14ac:dyDescent="0.25">
      <c r="B158" s="3"/>
      <c r="C158" s="3"/>
      <c r="D158" s="3"/>
      <c r="E158" s="3"/>
      <c r="F158" s="3"/>
      <c r="G158" s="3"/>
      <c r="H158" s="3"/>
      <c r="I158" s="3"/>
      <c r="J158" s="3"/>
      <c r="P158" s="3"/>
    </row>
    <row r="159" spans="2:16" x14ac:dyDescent="0.25">
      <c r="B159" s="3"/>
      <c r="C159" s="3"/>
      <c r="D159" s="3"/>
      <c r="E159" s="3"/>
      <c r="F159" s="3"/>
      <c r="G159" s="3"/>
      <c r="H159" s="3"/>
      <c r="I159" s="3"/>
      <c r="J159" s="3"/>
      <c r="P159" s="3"/>
    </row>
    <row r="160" spans="2:16" x14ac:dyDescent="0.25">
      <c r="B160" s="3"/>
      <c r="C160" s="3"/>
      <c r="D160" s="3"/>
      <c r="E160" s="3"/>
      <c r="F160" s="3"/>
      <c r="G160" s="3"/>
      <c r="H160" s="3"/>
      <c r="I160" s="3"/>
      <c r="J160" s="3"/>
      <c r="P160" s="3"/>
    </row>
    <row r="161" spans="2:16" x14ac:dyDescent="0.25">
      <c r="B161" s="3"/>
      <c r="C161" s="3"/>
      <c r="D161" s="3"/>
      <c r="E161" s="3"/>
      <c r="F161" s="3"/>
      <c r="G161" s="3"/>
      <c r="H161" s="3"/>
      <c r="I161" s="3"/>
      <c r="J161" s="3"/>
      <c r="P161" s="3"/>
    </row>
    <row r="162" spans="2:16" x14ac:dyDescent="0.25">
      <c r="B162" s="3"/>
      <c r="C162" s="3"/>
      <c r="D162" s="3"/>
      <c r="E162" s="3"/>
      <c r="F162" s="3"/>
      <c r="G162" s="3"/>
      <c r="H162" s="3"/>
      <c r="I162" s="3"/>
      <c r="J162" s="3"/>
      <c r="P162" s="3"/>
    </row>
    <row r="163" spans="2:16" x14ac:dyDescent="0.25">
      <c r="B163" s="3"/>
      <c r="C163" s="3"/>
      <c r="D163" s="3"/>
      <c r="E163" s="3"/>
      <c r="F163" s="3"/>
      <c r="G163" s="3"/>
      <c r="H163" s="3"/>
      <c r="I163" s="3"/>
      <c r="J163" s="3"/>
      <c r="P163" s="3"/>
    </row>
    <row r="164" spans="2:16" x14ac:dyDescent="0.25">
      <c r="B164" s="3"/>
      <c r="C164" s="3"/>
      <c r="D164" s="3"/>
      <c r="E164" s="3"/>
      <c r="F164" s="3"/>
      <c r="G164" s="3"/>
      <c r="H164" s="3"/>
      <c r="I164" s="3"/>
      <c r="J164" s="3"/>
      <c r="P164" s="3"/>
    </row>
    <row r="165" spans="2:16" x14ac:dyDescent="0.25">
      <c r="B165" s="3"/>
      <c r="C165" s="3"/>
      <c r="D165" s="3"/>
      <c r="E165" s="3"/>
      <c r="F165" s="3"/>
      <c r="G165" s="3"/>
      <c r="H165" s="3"/>
      <c r="I165" s="3"/>
      <c r="J165" s="3"/>
      <c r="P165" s="3"/>
    </row>
    <row r="166" spans="2:16" x14ac:dyDescent="0.25">
      <c r="B166" s="3"/>
      <c r="C166" s="3"/>
      <c r="D166" s="3"/>
      <c r="E166" s="3"/>
      <c r="F166" s="3"/>
      <c r="G166" s="3"/>
      <c r="H166" s="3"/>
      <c r="I166" s="3"/>
      <c r="J166" s="3"/>
      <c r="P166" s="3"/>
    </row>
    <row r="167" spans="2:16" x14ac:dyDescent="0.25">
      <c r="B167" s="3"/>
      <c r="C167" s="3"/>
      <c r="D167" s="3"/>
      <c r="E167" s="3"/>
      <c r="F167" s="3"/>
      <c r="G167" s="3"/>
      <c r="H167" s="3"/>
      <c r="I167" s="3"/>
      <c r="J167" s="3"/>
      <c r="P167" s="3"/>
    </row>
    <row r="168" spans="2:16" x14ac:dyDescent="0.25">
      <c r="B168" s="3"/>
      <c r="C168" s="3"/>
      <c r="D168" s="3"/>
      <c r="E168" s="3"/>
      <c r="F168" s="3"/>
      <c r="G168" s="3"/>
      <c r="H168" s="3"/>
      <c r="I168" s="3"/>
      <c r="J168" s="3"/>
      <c r="P168" s="3"/>
    </row>
    <row r="169" spans="2:16" x14ac:dyDescent="0.25">
      <c r="B169" s="3"/>
      <c r="C169" s="3"/>
      <c r="D169" s="3"/>
      <c r="E169" s="3"/>
      <c r="F169" s="3"/>
      <c r="G169" s="3"/>
      <c r="H169" s="3"/>
      <c r="I169" s="3"/>
      <c r="J169" s="3"/>
      <c r="P169" s="3"/>
    </row>
    <row r="170" spans="2:16" x14ac:dyDescent="0.25">
      <c r="B170" s="3"/>
      <c r="C170" s="3"/>
      <c r="D170" s="3"/>
      <c r="E170" s="3"/>
      <c r="F170" s="3"/>
      <c r="G170" s="3"/>
      <c r="H170" s="3"/>
      <c r="I170" s="3"/>
      <c r="J170" s="3"/>
      <c r="P170" s="3"/>
    </row>
    <row r="171" spans="2:16" x14ac:dyDescent="0.25">
      <c r="B171" s="3"/>
      <c r="C171" s="3"/>
      <c r="D171" s="3"/>
      <c r="E171" s="3"/>
      <c r="F171" s="3"/>
      <c r="G171" s="3"/>
      <c r="H171" s="3"/>
      <c r="I171" s="3"/>
      <c r="J171" s="3"/>
      <c r="P171" s="3"/>
    </row>
    <row r="172" spans="2:16" x14ac:dyDescent="0.25">
      <c r="B172" s="3"/>
      <c r="C172" s="3"/>
      <c r="D172" s="3"/>
      <c r="E172" s="3"/>
      <c r="F172" s="3"/>
      <c r="G172" s="3"/>
      <c r="H172" s="3"/>
      <c r="I172" s="3"/>
      <c r="J172" s="3"/>
      <c r="P172" s="3"/>
    </row>
    <row r="173" spans="2:16" x14ac:dyDescent="0.25">
      <c r="B173" s="3"/>
      <c r="C173" s="3"/>
      <c r="D173" s="3"/>
      <c r="E173" s="3"/>
      <c r="F173" s="3"/>
      <c r="G173" s="3"/>
      <c r="H173" s="3"/>
      <c r="I173" s="3"/>
      <c r="J173" s="3"/>
      <c r="P173" s="3"/>
    </row>
    <row r="174" spans="2:16" x14ac:dyDescent="0.25">
      <c r="B174" s="3"/>
      <c r="C174" s="3"/>
      <c r="D174" s="3"/>
      <c r="E174" s="3"/>
      <c r="F174" s="3"/>
      <c r="G174" s="3"/>
      <c r="H174" s="3"/>
      <c r="I174" s="3"/>
      <c r="J174" s="3"/>
      <c r="P174" s="3"/>
    </row>
    <row r="175" spans="2:16" x14ac:dyDescent="0.25">
      <c r="B175" s="3"/>
      <c r="C175" s="3"/>
      <c r="D175" s="3"/>
      <c r="E175" s="3"/>
      <c r="F175" s="3"/>
      <c r="G175" s="3"/>
      <c r="H175" s="3"/>
      <c r="I175" s="3"/>
      <c r="J175" s="3"/>
      <c r="P175" s="3"/>
    </row>
    <row r="176" spans="2:16" x14ac:dyDescent="0.25">
      <c r="B176" s="3"/>
      <c r="C176" s="3"/>
      <c r="D176" s="3"/>
      <c r="E176" s="3"/>
      <c r="F176" s="3"/>
      <c r="G176" s="3"/>
      <c r="H176" s="3"/>
      <c r="I176" s="3"/>
      <c r="J176" s="3"/>
      <c r="P176" s="3"/>
    </row>
    <row r="177" spans="2:16" x14ac:dyDescent="0.25">
      <c r="B177" s="3"/>
      <c r="C177" s="3"/>
      <c r="D177" s="3"/>
      <c r="E177" s="3"/>
      <c r="F177" s="3"/>
      <c r="G177" s="3"/>
      <c r="H177" s="3"/>
      <c r="I177" s="3"/>
      <c r="J177" s="3"/>
      <c r="P177" s="3"/>
    </row>
    <row r="178" spans="2:16" x14ac:dyDescent="0.25">
      <c r="B178" s="3"/>
      <c r="C178" s="3"/>
      <c r="D178" s="3"/>
      <c r="E178" s="3"/>
      <c r="F178" s="3"/>
      <c r="G178" s="3"/>
      <c r="H178" s="3"/>
      <c r="I178" s="3"/>
      <c r="J178" s="3"/>
      <c r="P178" s="3"/>
    </row>
    <row r="179" spans="2:16" x14ac:dyDescent="0.25">
      <c r="B179" s="3"/>
      <c r="C179" s="3"/>
      <c r="D179" s="3"/>
      <c r="E179" s="3"/>
      <c r="F179" s="3"/>
      <c r="G179" s="3"/>
      <c r="H179" s="3"/>
      <c r="I179" s="3"/>
      <c r="J179" s="3"/>
      <c r="P179" s="3"/>
    </row>
    <row r="180" spans="2:16" x14ac:dyDescent="0.25">
      <c r="B180" s="3"/>
      <c r="C180" s="3"/>
      <c r="D180" s="3"/>
      <c r="E180" s="3"/>
      <c r="F180" s="3"/>
      <c r="G180" s="3"/>
      <c r="H180" s="3"/>
      <c r="I180" s="3"/>
      <c r="J180" s="3"/>
      <c r="P180" s="3"/>
    </row>
    <row r="181" spans="2:16" x14ac:dyDescent="0.25">
      <c r="B181" s="3"/>
      <c r="C181" s="3"/>
      <c r="D181" s="3"/>
      <c r="E181" s="3"/>
      <c r="F181" s="3"/>
      <c r="G181" s="3"/>
      <c r="H181" s="3"/>
      <c r="I181" s="3"/>
      <c r="J181" s="3"/>
      <c r="P181" s="3"/>
    </row>
    <row r="182" spans="2:16" x14ac:dyDescent="0.25">
      <c r="B182" s="3"/>
      <c r="C182" s="3"/>
      <c r="D182" s="3"/>
      <c r="E182" s="3"/>
      <c r="F182" s="3"/>
      <c r="G182" s="3"/>
      <c r="H182" s="3"/>
      <c r="I182" s="3"/>
      <c r="J182" s="3"/>
      <c r="P182" s="3"/>
    </row>
    <row r="183" spans="2:16" x14ac:dyDescent="0.25">
      <c r="B183" s="3"/>
      <c r="C183" s="3"/>
      <c r="D183" s="3"/>
      <c r="E183" s="3"/>
      <c r="F183" s="3"/>
      <c r="G183" s="3"/>
      <c r="H183" s="3"/>
      <c r="I183" s="3"/>
      <c r="J183" s="3"/>
      <c r="P183" s="3"/>
    </row>
    <row r="184" spans="2:16" x14ac:dyDescent="0.25">
      <c r="B184" s="3"/>
      <c r="C184" s="3"/>
      <c r="D184" s="3"/>
      <c r="E184" s="3"/>
      <c r="F184" s="3"/>
      <c r="G184" s="3"/>
      <c r="H184" s="3"/>
      <c r="I184" s="3"/>
      <c r="J184" s="3"/>
      <c r="P184" s="3"/>
    </row>
    <row r="185" spans="2:16" x14ac:dyDescent="0.25">
      <c r="B185" s="3"/>
      <c r="C185" s="3"/>
      <c r="D185" s="3"/>
      <c r="E185" s="3"/>
      <c r="F185" s="3"/>
      <c r="G185" s="3"/>
      <c r="H185" s="3"/>
      <c r="I185" s="3"/>
      <c r="J185" s="3"/>
      <c r="P185" s="3"/>
    </row>
    <row r="186" spans="2:16" x14ac:dyDescent="0.25">
      <c r="B186" s="3"/>
      <c r="C186" s="3"/>
      <c r="D186" s="3"/>
      <c r="E186" s="3"/>
      <c r="F186" s="3"/>
      <c r="G186" s="3"/>
      <c r="H186" s="3"/>
      <c r="I186" s="3"/>
      <c r="J186" s="3"/>
      <c r="P186" s="3"/>
    </row>
    <row r="187" spans="2:16" x14ac:dyDescent="0.25">
      <c r="B187" s="3"/>
      <c r="C187" s="3"/>
      <c r="D187" s="3"/>
      <c r="E187" s="3"/>
      <c r="F187" s="3"/>
      <c r="G187" s="3"/>
      <c r="H187" s="3"/>
      <c r="I187" s="3"/>
      <c r="J187" s="3"/>
      <c r="P187" s="3"/>
    </row>
    <row r="188" spans="2:16" x14ac:dyDescent="0.25">
      <c r="B188" s="3"/>
      <c r="C188" s="3"/>
      <c r="D188" s="3"/>
      <c r="E188" s="3"/>
      <c r="F188" s="3"/>
      <c r="G188" s="3"/>
      <c r="H188" s="3"/>
      <c r="I188" s="3"/>
      <c r="J188" s="3"/>
      <c r="P188" s="3"/>
    </row>
    <row r="189" spans="2:16" x14ac:dyDescent="0.25">
      <c r="B189" s="3"/>
      <c r="C189" s="3"/>
      <c r="D189" s="3"/>
      <c r="E189" s="3"/>
      <c r="F189" s="3"/>
      <c r="G189" s="3"/>
      <c r="H189" s="3"/>
      <c r="I189" s="3"/>
      <c r="J189" s="3"/>
      <c r="P189" s="3"/>
    </row>
    <row r="190" spans="2:16" x14ac:dyDescent="0.25">
      <c r="B190" s="3"/>
      <c r="C190" s="3"/>
      <c r="D190" s="3"/>
      <c r="E190" s="3"/>
      <c r="F190" s="3"/>
      <c r="G190" s="3"/>
      <c r="H190" s="3"/>
      <c r="I190" s="3"/>
      <c r="J190" s="3"/>
      <c r="P190" s="3"/>
    </row>
    <row r="191" spans="2:16" x14ac:dyDescent="0.25">
      <c r="B191" s="3"/>
      <c r="C191" s="3"/>
      <c r="D191" s="3"/>
      <c r="E191" s="3"/>
      <c r="F191" s="3"/>
      <c r="G191" s="3"/>
      <c r="H191" s="3"/>
      <c r="I191" s="3"/>
      <c r="J191" s="3"/>
      <c r="P191" s="3"/>
    </row>
    <row r="192" spans="2:16" x14ac:dyDescent="0.25">
      <c r="B192" s="3"/>
      <c r="C192" s="3"/>
      <c r="D192" s="3"/>
      <c r="E192" s="3"/>
      <c r="F192" s="3"/>
      <c r="G192" s="3"/>
      <c r="H192" s="3"/>
      <c r="I192" s="3"/>
      <c r="J192" s="3"/>
      <c r="P192" s="3"/>
    </row>
    <row r="193" spans="2:16" x14ac:dyDescent="0.25">
      <c r="B193" s="3"/>
      <c r="C193" s="3"/>
      <c r="D193" s="3"/>
      <c r="E193" s="3"/>
      <c r="F193" s="3"/>
      <c r="G193" s="3"/>
      <c r="H193" s="3"/>
      <c r="I193" s="3"/>
      <c r="J193" s="3"/>
      <c r="P193" s="3"/>
    </row>
    <row r="194" spans="2:16" x14ac:dyDescent="0.25">
      <c r="B194" s="3"/>
      <c r="C194" s="3"/>
      <c r="D194" s="3"/>
      <c r="E194" s="3"/>
      <c r="F194" s="3"/>
      <c r="G194" s="3"/>
      <c r="H194" s="3"/>
      <c r="I194" s="3"/>
      <c r="J194" s="3"/>
      <c r="P194" s="3"/>
    </row>
    <row r="195" spans="2:16" x14ac:dyDescent="0.25">
      <c r="B195" s="3"/>
      <c r="C195" s="3"/>
      <c r="D195" s="3"/>
      <c r="E195" s="3"/>
      <c r="F195" s="3"/>
      <c r="G195" s="3"/>
      <c r="H195" s="3"/>
      <c r="I195" s="3"/>
      <c r="J195" s="3"/>
      <c r="P195" s="3"/>
    </row>
    <row r="196" spans="2:16" x14ac:dyDescent="0.25">
      <c r="B196" s="3"/>
      <c r="C196" s="3"/>
      <c r="D196" s="3"/>
      <c r="E196" s="3"/>
      <c r="F196" s="3"/>
      <c r="G196" s="3"/>
      <c r="H196" s="3"/>
      <c r="I196" s="3"/>
      <c r="J196" s="3"/>
      <c r="P196" s="3"/>
    </row>
    <row r="197" spans="2:16" x14ac:dyDescent="0.25">
      <c r="B197" s="3"/>
      <c r="C197" s="3"/>
      <c r="D197" s="3"/>
      <c r="E197" s="3"/>
      <c r="F197" s="3"/>
      <c r="G197" s="3"/>
      <c r="H197" s="3"/>
      <c r="I197" s="3"/>
      <c r="J197" s="3"/>
      <c r="P197" s="3"/>
    </row>
    <row r="198" spans="2:16" x14ac:dyDescent="0.25">
      <c r="B198" s="3"/>
      <c r="C198" s="3"/>
      <c r="D198" s="3"/>
      <c r="E198" s="3"/>
      <c r="F198" s="3"/>
      <c r="G198" s="3"/>
      <c r="H198" s="3"/>
      <c r="I198" s="3"/>
      <c r="J198" s="3"/>
      <c r="P198" s="3"/>
    </row>
    <row r="199" spans="2:16" x14ac:dyDescent="0.25">
      <c r="B199" s="3"/>
      <c r="C199" s="3"/>
      <c r="D199" s="3"/>
      <c r="E199" s="3"/>
      <c r="F199" s="3"/>
      <c r="G199" s="3"/>
      <c r="H199" s="3"/>
      <c r="I199" s="3"/>
      <c r="J199" s="3"/>
      <c r="P199" s="3"/>
    </row>
    <row r="200" spans="2:16" x14ac:dyDescent="0.25">
      <c r="B200" s="3"/>
      <c r="C200" s="3"/>
      <c r="D200" s="3"/>
      <c r="E200" s="3"/>
      <c r="F200" s="3"/>
      <c r="G200" s="3"/>
      <c r="H200" s="3"/>
      <c r="I200" s="3"/>
      <c r="J200" s="3"/>
      <c r="P200" s="3"/>
    </row>
    <row r="201" spans="2:16" x14ac:dyDescent="0.25">
      <c r="B201" s="3"/>
      <c r="C201" s="3"/>
      <c r="D201" s="3"/>
      <c r="E201" s="3"/>
      <c r="F201" s="3"/>
      <c r="G201" s="3"/>
      <c r="H201" s="3"/>
      <c r="I201" s="3"/>
      <c r="J201" s="3"/>
      <c r="P201" s="3"/>
    </row>
    <row r="202" spans="2:16" x14ac:dyDescent="0.25">
      <c r="B202" s="3"/>
      <c r="C202" s="3"/>
      <c r="D202" s="3"/>
      <c r="E202" s="3"/>
      <c r="F202" s="3"/>
      <c r="G202" s="3"/>
      <c r="H202" s="3"/>
      <c r="I202" s="3"/>
      <c r="J202" s="3"/>
      <c r="P202" s="3"/>
    </row>
    <row r="203" spans="2:16" x14ac:dyDescent="0.25">
      <c r="B203" s="3"/>
      <c r="C203" s="3"/>
      <c r="D203" s="3"/>
      <c r="E203" s="3"/>
      <c r="F203" s="3"/>
      <c r="G203" s="3"/>
      <c r="H203" s="3"/>
      <c r="I203" s="3"/>
      <c r="J203" s="3"/>
      <c r="P203" s="3"/>
    </row>
    <row r="204" spans="2:16" x14ac:dyDescent="0.25">
      <c r="B204" s="3"/>
      <c r="C204" s="3"/>
      <c r="D204" s="3"/>
      <c r="E204" s="3"/>
      <c r="F204" s="3"/>
      <c r="G204" s="3"/>
      <c r="H204" s="3"/>
      <c r="I204" s="3"/>
      <c r="J204" s="3"/>
      <c r="P204" s="3"/>
    </row>
    <row r="205" spans="2:16" x14ac:dyDescent="0.25">
      <c r="B205" s="3"/>
      <c r="C205" s="3"/>
      <c r="D205" s="3"/>
      <c r="E205" s="3"/>
      <c r="F205" s="3"/>
      <c r="G205" s="3"/>
      <c r="H205" s="3"/>
      <c r="I205" s="3"/>
      <c r="J205" s="3"/>
      <c r="P205" s="3"/>
    </row>
    <row r="206" spans="2:16" x14ac:dyDescent="0.25">
      <c r="B206" s="3"/>
      <c r="C206" s="3"/>
      <c r="D206" s="3"/>
      <c r="E206" s="3"/>
      <c r="F206" s="3"/>
      <c r="G206" s="3"/>
      <c r="H206" s="3"/>
      <c r="I206" s="3"/>
      <c r="J206" s="3"/>
      <c r="P206" s="3"/>
    </row>
    <row r="207" spans="2:16" x14ac:dyDescent="0.25">
      <c r="B207" s="3"/>
      <c r="C207" s="3"/>
      <c r="D207" s="3"/>
      <c r="E207" s="3"/>
      <c r="F207" s="3"/>
      <c r="G207" s="3"/>
      <c r="H207" s="3"/>
      <c r="I207" s="3"/>
      <c r="J207" s="3"/>
      <c r="P207" s="3"/>
    </row>
    <row r="208" spans="2:16" x14ac:dyDescent="0.25">
      <c r="B208" s="3"/>
      <c r="C208" s="3"/>
      <c r="D208" s="3"/>
      <c r="E208" s="3"/>
      <c r="F208" s="3"/>
      <c r="G208" s="3"/>
      <c r="H208" s="3"/>
      <c r="I208" s="3"/>
      <c r="J208" s="3"/>
      <c r="P208" s="3"/>
    </row>
    <row r="209" spans="2:16" x14ac:dyDescent="0.25">
      <c r="B209" s="3"/>
      <c r="C209" s="3"/>
      <c r="D209" s="3"/>
      <c r="E209" s="3"/>
      <c r="F209" s="3"/>
      <c r="G209" s="3"/>
      <c r="H209" s="3"/>
      <c r="I209" s="3"/>
      <c r="J209" s="3"/>
      <c r="P209" s="3"/>
    </row>
    <row r="210" spans="2:16" x14ac:dyDescent="0.25">
      <c r="B210" s="3"/>
      <c r="C210" s="3"/>
      <c r="D210" s="3"/>
      <c r="E210" s="3"/>
      <c r="F210" s="3"/>
      <c r="G210" s="3"/>
      <c r="H210" s="3"/>
      <c r="I210" s="3"/>
      <c r="J210" s="3"/>
      <c r="P210" s="3"/>
    </row>
    <row r="211" spans="2:16" x14ac:dyDescent="0.25">
      <c r="B211" s="3"/>
      <c r="C211" s="3"/>
      <c r="D211" s="3"/>
      <c r="E211" s="3"/>
      <c r="F211" s="3"/>
      <c r="G211" s="3"/>
      <c r="H211" s="3"/>
      <c r="I211" s="3"/>
      <c r="J211" s="3"/>
      <c r="P211" s="3"/>
    </row>
    <row r="212" spans="2:16" x14ac:dyDescent="0.25">
      <c r="B212" s="3"/>
      <c r="C212" s="3"/>
      <c r="D212" s="3"/>
      <c r="E212" s="3"/>
      <c r="F212" s="3"/>
      <c r="G212" s="3"/>
      <c r="H212" s="3"/>
      <c r="I212" s="3"/>
      <c r="J212" s="3"/>
      <c r="P212" s="3"/>
    </row>
    <row r="213" spans="2:16" x14ac:dyDescent="0.25">
      <c r="B213" s="3"/>
      <c r="C213" s="3"/>
      <c r="D213" s="3"/>
      <c r="E213" s="3"/>
      <c r="F213" s="3"/>
      <c r="G213" s="3"/>
      <c r="H213" s="3"/>
      <c r="I213" s="3"/>
      <c r="J213" s="3"/>
      <c r="P213" s="3"/>
    </row>
    <row r="214" spans="2:16" x14ac:dyDescent="0.25">
      <c r="B214" s="3"/>
      <c r="C214" s="3"/>
      <c r="D214" s="3"/>
      <c r="E214" s="3"/>
      <c r="F214" s="3"/>
      <c r="G214" s="3"/>
      <c r="H214" s="3"/>
      <c r="I214" s="3"/>
      <c r="J214" s="3"/>
      <c r="P214" s="3"/>
    </row>
    <row r="215" spans="2:16" x14ac:dyDescent="0.25">
      <c r="B215" s="3"/>
      <c r="C215" s="3"/>
      <c r="D215" s="3"/>
      <c r="E215" s="3"/>
      <c r="F215" s="3"/>
      <c r="G215" s="3"/>
      <c r="H215" s="3"/>
      <c r="I215" s="3"/>
      <c r="J215" s="3"/>
      <c r="P215" s="3"/>
    </row>
    <row r="216" spans="2:16" x14ac:dyDescent="0.25">
      <c r="B216" s="3"/>
      <c r="C216" s="3"/>
      <c r="D216" s="3"/>
      <c r="E216" s="3"/>
      <c r="F216" s="3"/>
      <c r="G216" s="3"/>
      <c r="H216" s="3"/>
      <c r="I216" s="3"/>
      <c r="J216" s="3"/>
      <c r="P216" s="3"/>
    </row>
    <row r="217" spans="2:16" x14ac:dyDescent="0.25">
      <c r="B217" s="3"/>
      <c r="C217" s="3"/>
      <c r="D217" s="3"/>
      <c r="E217" s="3"/>
      <c r="F217" s="3"/>
      <c r="G217" s="3"/>
      <c r="H217" s="3"/>
      <c r="I217" s="3"/>
      <c r="J217" s="3"/>
      <c r="P217" s="3"/>
    </row>
    <row r="218" spans="2:16" x14ac:dyDescent="0.25">
      <c r="B218" s="3"/>
      <c r="C218" s="3"/>
      <c r="D218" s="3"/>
      <c r="E218" s="3"/>
      <c r="F218" s="3"/>
      <c r="G218" s="3"/>
      <c r="H218" s="3"/>
      <c r="I218" s="3"/>
      <c r="J218" s="3"/>
      <c r="P218" s="3"/>
    </row>
    <row r="219" spans="2:16" x14ac:dyDescent="0.25">
      <c r="B219" s="3"/>
      <c r="C219" s="3"/>
      <c r="D219" s="3"/>
      <c r="E219" s="3"/>
      <c r="F219" s="3"/>
      <c r="G219" s="3"/>
      <c r="H219" s="3"/>
      <c r="I219" s="3"/>
      <c r="J219" s="3"/>
      <c r="P219" s="3"/>
    </row>
    <row r="220" spans="2:16" x14ac:dyDescent="0.25">
      <c r="B220" s="3"/>
      <c r="C220" s="3"/>
      <c r="D220" s="3"/>
      <c r="E220" s="3"/>
      <c r="F220" s="3"/>
      <c r="G220" s="3"/>
      <c r="H220" s="3"/>
      <c r="I220" s="3"/>
      <c r="J220" s="3"/>
      <c r="P220" s="3"/>
    </row>
    <row r="221" spans="2:16" x14ac:dyDescent="0.25">
      <c r="B221" s="3"/>
      <c r="C221" s="3"/>
      <c r="D221" s="3"/>
      <c r="E221" s="3"/>
      <c r="F221" s="3"/>
      <c r="G221" s="3"/>
      <c r="H221" s="3"/>
      <c r="I221" s="3"/>
      <c r="J221" s="3"/>
      <c r="P221" s="3"/>
    </row>
    <row r="222" spans="2:16" x14ac:dyDescent="0.25">
      <c r="B222" s="3"/>
      <c r="C222" s="3"/>
      <c r="D222" s="3"/>
      <c r="E222" s="3"/>
      <c r="F222" s="3"/>
      <c r="G222" s="3"/>
      <c r="H222" s="3"/>
      <c r="I222" s="3"/>
      <c r="J222" s="3"/>
      <c r="P222" s="3"/>
    </row>
    <row r="223" spans="2:16" x14ac:dyDescent="0.25">
      <c r="B223" s="3"/>
      <c r="C223" s="3"/>
      <c r="D223" s="3"/>
      <c r="E223" s="3"/>
      <c r="F223" s="3"/>
      <c r="G223" s="3"/>
      <c r="H223" s="3"/>
      <c r="I223" s="3"/>
      <c r="J223" s="3"/>
      <c r="P223" s="3"/>
    </row>
    <row r="224" spans="2:16" x14ac:dyDescent="0.25">
      <c r="B224" s="3"/>
      <c r="C224" s="3"/>
      <c r="D224" s="3"/>
      <c r="E224" s="3"/>
      <c r="F224" s="3"/>
      <c r="G224" s="3"/>
      <c r="H224" s="3"/>
      <c r="I224" s="3"/>
      <c r="J224" s="3"/>
      <c r="P224" s="3"/>
    </row>
    <row r="225" spans="2:16" x14ac:dyDescent="0.25">
      <c r="B225" s="3"/>
      <c r="C225" s="3"/>
      <c r="D225" s="3"/>
      <c r="E225" s="3"/>
      <c r="F225" s="3"/>
      <c r="G225" s="3"/>
      <c r="H225" s="3"/>
      <c r="I225" s="3"/>
      <c r="J225" s="3"/>
      <c r="P225" s="3"/>
    </row>
    <row r="226" spans="2:16" x14ac:dyDescent="0.25">
      <c r="B226" s="3"/>
      <c r="C226" s="3"/>
      <c r="D226" s="3"/>
      <c r="E226" s="3"/>
      <c r="F226" s="3"/>
      <c r="G226" s="3"/>
      <c r="H226" s="3"/>
      <c r="I226" s="3"/>
      <c r="J226" s="3"/>
      <c r="P226" s="3"/>
    </row>
    <row r="227" spans="2:16" x14ac:dyDescent="0.25">
      <c r="B227" s="3"/>
      <c r="C227" s="3"/>
      <c r="D227" s="3"/>
      <c r="E227" s="3"/>
      <c r="F227" s="3"/>
      <c r="G227" s="3"/>
      <c r="H227" s="3"/>
      <c r="I227" s="3"/>
      <c r="J227" s="3"/>
      <c r="P227" s="3"/>
    </row>
    <row r="228" spans="2:16" x14ac:dyDescent="0.25">
      <c r="B228" s="3"/>
      <c r="C228" s="3"/>
      <c r="D228" s="3"/>
      <c r="E228" s="3"/>
      <c r="F228" s="3"/>
      <c r="G228" s="3"/>
      <c r="H228" s="3"/>
      <c r="I228" s="3"/>
      <c r="J228" s="3"/>
      <c r="P228" s="3"/>
    </row>
    <row r="229" spans="2:16" x14ac:dyDescent="0.25">
      <c r="B229" s="3"/>
      <c r="C229" s="3"/>
      <c r="D229" s="3"/>
      <c r="E229" s="3"/>
      <c r="F229" s="3"/>
      <c r="G229" s="3"/>
      <c r="H229" s="3"/>
      <c r="I229" s="3"/>
      <c r="J229" s="3"/>
      <c r="P229" s="3"/>
    </row>
    <row r="230" spans="2:16" x14ac:dyDescent="0.25">
      <c r="B230" s="3"/>
      <c r="C230" s="3"/>
      <c r="D230" s="3"/>
      <c r="E230" s="3"/>
      <c r="F230" s="3"/>
      <c r="G230" s="3"/>
      <c r="H230" s="3"/>
      <c r="I230" s="3"/>
      <c r="J230" s="3"/>
      <c r="P230" s="3"/>
    </row>
    <row r="231" spans="2:16" x14ac:dyDescent="0.25">
      <c r="B231" s="3"/>
      <c r="C231" s="3"/>
      <c r="D231" s="3"/>
      <c r="E231" s="3"/>
      <c r="F231" s="3"/>
      <c r="G231" s="3"/>
      <c r="H231" s="3"/>
      <c r="I231" s="3"/>
      <c r="J231" s="3"/>
      <c r="P231" s="3"/>
    </row>
    <row r="232" spans="2:16" x14ac:dyDescent="0.25">
      <c r="B232" s="3"/>
      <c r="C232" s="3"/>
      <c r="D232" s="3"/>
      <c r="E232" s="3"/>
      <c r="F232" s="3"/>
      <c r="G232" s="3"/>
      <c r="H232" s="3"/>
      <c r="I232" s="3"/>
      <c r="J232" s="3"/>
      <c r="P232" s="3"/>
    </row>
    <row r="233" spans="2:16" x14ac:dyDescent="0.25">
      <c r="B233" s="3"/>
      <c r="C233" s="3"/>
      <c r="D233" s="3"/>
      <c r="E233" s="3"/>
      <c r="F233" s="3"/>
      <c r="G233" s="3"/>
      <c r="H233" s="3"/>
      <c r="I233" s="3"/>
      <c r="J233" s="3"/>
      <c r="P233" s="3"/>
    </row>
    <row r="234" spans="2:16" x14ac:dyDescent="0.25">
      <c r="B234" s="3"/>
      <c r="C234" s="3"/>
      <c r="D234" s="3"/>
      <c r="E234" s="3"/>
      <c r="F234" s="3"/>
      <c r="G234" s="3"/>
      <c r="H234" s="3"/>
      <c r="I234" s="3"/>
      <c r="J234" s="3"/>
      <c r="P234" s="3"/>
    </row>
    <row r="235" spans="2:16" x14ac:dyDescent="0.25">
      <c r="B235" s="3"/>
      <c r="C235" s="3"/>
      <c r="D235" s="3"/>
      <c r="E235" s="3"/>
      <c r="F235" s="3"/>
      <c r="G235" s="3"/>
      <c r="H235" s="3"/>
      <c r="I235" s="3"/>
      <c r="J235" s="3"/>
      <c r="P235" s="3"/>
    </row>
    <row r="236" spans="2:16" x14ac:dyDescent="0.25">
      <c r="B236" s="3"/>
      <c r="C236" s="3"/>
      <c r="D236" s="3"/>
      <c r="E236" s="3"/>
      <c r="F236" s="3"/>
      <c r="G236" s="3"/>
      <c r="H236" s="3"/>
      <c r="I236" s="3"/>
      <c r="J236" s="3"/>
      <c r="P236" s="3"/>
    </row>
    <row r="237" spans="2:16" x14ac:dyDescent="0.25">
      <c r="B237" s="3"/>
      <c r="C237" s="3"/>
      <c r="D237" s="3"/>
      <c r="E237" s="3"/>
      <c r="F237" s="3"/>
      <c r="G237" s="3"/>
      <c r="H237" s="3"/>
      <c r="I237" s="3"/>
      <c r="J237" s="3"/>
      <c r="P237" s="3"/>
    </row>
    <row r="238" spans="2:16" x14ac:dyDescent="0.25">
      <c r="B238" s="3"/>
      <c r="C238" s="3"/>
      <c r="D238" s="3"/>
      <c r="E238" s="3"/>
      <c r="F238" s="3"/>
      <c r="G238" s="3"/>
      <c r="H238" s="3"/>
      <c r="I238" s="3"/>
      <c r="J238" s="3"/>
      <c r="P238" s="3"/>
    </row>
    <row r="239" spans="2:16" x14ac:dyDescent="0.25">
      <c r="B239" s="3"/>
      <c r="C239" s="3"/>
      <c r="D239" s="3"/>
      <c r="E239" s="3"/>
      <c r="F239" s="3"/>
      <c r="G239" s="3"/>
      <c r="H239" s="3"/>
      <c r="I239" s="3"/>
      <c r="J239" s="3"/>
      <c r="P239" s="3"/>
    </row>
    <row r="240" spans="2:16" x14ac:dyDescent="0.25">
      <c r="B240" s="3"/>
      <c r="C240" s="3"/>
      <c r="D240" s="3"/>
      <c r="E240" s="3"/>
      <c r="F240" s="3"/>
      <c r="G240" s="3"/>
      <c r="H240" s="3"/>
      <c r="I240" s="3"/>
      <c r="J240" s="3"/>
      <c r="P240" s="3"/>
    </row>
    <row r="241" spans="2:16" x14ac:dyDescent="0.25">
      <c r="B241" s="3"/>
      <c r="C241" s="3"/>
      <c r="D241" s="3"/>
      <c r="E241" s="3"/>
      <c r="F241" s="3"/>
      <c r="G241" s="3"/>
      <c r="H241" s="3"/>
      <c r="I241" s="3"/>
      <c r="J241" s="3"/>
      <c r="P241" s="3"/>
    </row>
    <row r="242" spans="2:16" x14ac:dyDescent="0.25">
      <c r="B242" s="3"/>
      <c r="C242" s="3"/>
      <c r="D242" s="3"/>
      <c r="E242" s="3"/>
      <c r="F242" s="3"/>
      <c r="G242" s="3"/>
      <c r="H242" s="3"/>
      <c r="I242" s="3"/>
      <c r="J242" s="3"/>
      <c r="P242" s="3"/>
    </row>
    <row r="243" spans="2:16" x14ac:dyDescent="0.25">
      <c r="B243" s="3"/>
      <c r="C243" s="3"/>
      <c r="D243" s="3"/>
      <c r="E243" s="3"/>
      <c r="F243" s="3"/>
      <c r="G243" s="3"/>
      <c r="H243" s="3"/>
      <c r="I243" s="3"/>
      <c r="J243" s="3"/>
      <c r="P243" s="3"/>
    </row>
    <row r="244" spans="2:16" x14ac:dyDescent="0.25">
      <c r="B244" s="3"/>
      <c r="C244" s="3"/>
      <c r="D244" s="3"/>
      <c r="E244" s="3"/>
      <c r="F244" s="3"/>
      <c r="G244" s="3"/>
      <c r="H244" s="3"/>
      <c r="I244" s="3"/>
      <c r="J244" s="3"/>
      <c r="P244" s="3"/>
    </row>
    <row r="245" spans="2:16" x14ac:dyDescent="0.25">
      <c r="B245" s="3"/>
      <c r="C245" s="3"/>
      <c r="D245" s="3"/>
      <c r="E245" s="3"/>
      <c r="F245" s="3"/>
      <c r="G245" s="3"/>
      <c r="H245" s="3"/>
      <c r="I245" s="3"/>
      <c r="J245" s="3"/>
      <c r="P245" s="3"/>
    </row>
    <row r="246" spans="2:16" x14ac:dyDescent="0.25">
      <c r="B246" s="3"/>
      <c r="C246" s="3"/>
      <c r="D246" s="3"/>
      <c r="E246" s="3"/>
      <c r="F246" s="3"/>
      <c r="G246" s="3"/>
      <c r="H246" s="3"/>
      <c r="I246" s="3"/>
      <c r="J246" s="3"/>
      <c r="P246" s="3"/>
    </row>
    <row r="247" spans="2:16" x14ac:dyDescent="0.25">
      <c r="B247" s="3"/>
      <c r="C247" s="3"/>
      <c r="D247" s="3"/>
      <c r="E247" s="3"/>
      <c r="F247" s="3"/>
      <c r="G247" s="3"/>
      <c r="H247" s="3"/>
      <c r="I247" s="3"/>
      <c r="J247" s="3"/>
      <c r="P247" s="3"/>
    </row>
    <row r="248" spans="2:16" x14ac:dyDescent="0.25">
      <c r="B248" s="3"/>
      <c r="C248" s="3"/>
      <c r="D248" s="3"/>
      <c r="E248" s="3"/>
      <c r="F248" s="3"/>
      <c r="G248" s="3"/>
      <c r="H248" s="3"/>
      <c r="I248" s="3"/>
      <c r="J248" s="3"/>
      <c r="P248" s="3"/>
    </row>
    <row r="249" spans="2:16" x14ac:dyDescent="0.25">
      <c r="B249" s="3"/>
      <c r="C249" s="3"/>
      <c r="D249" s="3"/>
      <c r="E249" s="3"/>
      <c r="F249" s="3"/>
      <c r="G249" s="3"/>
      <c r="H249" s="3"/>
      <c r="I249" s="3"/>
      <c r="J249" s="3"/>
      <c r="P249" s="3"/>
    </row>
    <row r="250" spans="2:16" x14ac:dyDescent="0.25">
      <c r="B250" s="3"/>
      <c r="C250" s="3"/>
      <c r="D250" s="3"/>
      <c r="E250" s="3"/>
      <c r="F250" s="3"/>
      <c r="G250" s="3"/>
      <c r="H250" s="3"/>
      <c r="I250" s="3"/>
      <c r="J250" s="3"/>
      <c r="P250" s="3"/>
    </row>
    <row r="251" spans="2:16" x14ac:dyDescent="0.25">
      <c r="B251" s="3"/>
      <c r="C251" s="3"/>
      <c r="D251" s="3"/>
      <c r="E251" s="3"/>
      <c r="F251" s="3"/>
      <c r="G251" s="3"/>
      <c r="H251" s="3"/>
      <c r="I251" s="3"/>
      <c r="J251" s="3"/>
      <c r="P251" s="3"/>
    </row>
    <row r="252" spans="2:16" x14ac:dyDescent="0.25">
      <c r="B252" s="3"/>
      <c r="C252" s="3"/>
      <c r="D252" s="3"/>
      <c r="E252" s="3"/>
      <c r="F252" s="3"/>
      <c r="G252" s="3"/>
      <c r="H252" s="3"/>
      <c r="I252" s="3"/>
      <c r="J252" s="3"/>
      <c r="P252" s="3"/>
    </row>
    <row r="253" spans="2:16" x14ac:dyDescent="0.25">
      <c r="B253" s="3"/>
      <c r="C253" s="3"/>
      <c r="D253" s="3"/>
      <c r="E253" s="3"/>
      <c r="F253" s="3"/>
      <c r="G253" s="3"/>
      <c r="H253" s="3"/>
      <c r="I253" s="3"/>
      <c r="J253" s="3"/>
      <c r="P253" s="3"/>
    </row>
    <row r="254" spans="2:16" x14ac:dyDescent="0.25">
      <c r="B254" s="3"/>
      <c r="C254" s="3"/>
      <c r="D254" s="3"/>
      <c r="E254" s="3"/>
      <c r="F254" s="3"/>
      <c r="G254" s="3"/>
      <c r="H254" s="3"/>
      <c r="I254" s="3"/>
      <c r="J254" s="3"/>
      <c r="P254" s="3"/>
    </row>
    <row r="255" spans="2:16" x14ac:dyDescent="0.25">
      <c r="B255" s="3"/>
      <c r="C255" s="3"/>
      <c r="D255" s="3"/>
      <c r="E255" s="3"/>
      <c r="F255" s="3"/>
      <c r="G255" s="3"/>
      <c r="H255" s="3"/>
      <c r="I255" s="3"/>
      <c r="J255" s="3"/>
      <c r="P255" s="3"/>
    </row>
    <row r="256" spans="2:16" x14ac:dyDescent="0.25">
      <c r="B256" s="3"/>
      <c r="C256" s="3"/>
      <c r="D256" s="3"/>
      <c r="E256" s="3"/>
      <c r="F256" s="3"/>
      <c r="G256" s="3"/>
      <c r="H256" s="3"/>
      <c r="I256" s="3"/>
      <c r="J256" s="3"/>
      <c r="P256" s="3"/>
    </row>
    <row r="257" spans="2:16" x14ac:dyDescent="0.25">
      <c r="B257" s="3"/>
      <c r="C257" s="3"/>
      <c r="D257" s="3"/>
      <c r="E257" s="3"/>
      <c r="F257" s="3"/>
      <c r="G257" s="3"/>
      <c r="H257" s="3"/>
      <c r="I257" s="3"/>
      <c r="J257" s="3"/>
      <c r="P257" s="3"/>
    </row>
    <row r="258" spans="2:16" x14ac:dyDescent="0.25">
      <c r="B258" s="3"/>
      <c r="C258" s="3"/>
      <c r="D258" s="3"/>
      <c r="E258" s="3"/>
      <c r="F258" s="3"/>
      <c r="G258" s="3"/>
      <c r="H258" s="3"/>
      <c r="I258" s="3"/>
      <c r="J258" s="3"/>
      <c r="P258" s="3"/>
    </row>
    <row r="259" spans="2:16" x14ac:dyDescent="0.25">
      <c r="B259" s="3"/>
      <c r="C259" s="3"/>
      <c r="D259" s="3"/>
      <c r="E259" s="3"/>
      <c r="F259" s="3"/>
      <c r="G259" s="3"/>
      <c r="H259" s="3"/>
      <c r="I259" s="3"/>
      <c r="J259" s="3"/>
      <c r="P259" s="3"/>
    </row>
    <row r="260" spans="2:16" x14ac:dyDescent="0.25">
      <c r="B260" s="3"/>
      <c r="C260" s="3"/>
      <c r="D260" s="3"/>
      <c r="E260" s="3"/>
      <c r="F260" s="3"/>
      <c r="G260" s="3"/>
      <c r="H260" s="3"/>
      <c r="I260" s="3"/>
      <c r="J260" s="3"/>
      <c r="P260" s="3"/>
    </row>
    <row r="261" spans="2:16" x14ac:dyDescent="0.25">
      <c r="B261" s="3"/>
      <c r="C261" s="3"/>
      <c r="D261" s="3"/>
      <c r="E261" s="3"/>
      <c r="F261" s="3"/>
      <c r="G261" s="3"/>
      <c r="H261" s="3"/>
      <c r="I261" s="3"/>
      <c r="J261" s="3"/>
      <c r="P261" s="3"/>
    </row>
    <row r="262" spans="2:16" x14ac:dyDescent="0.25">
      <c r="B262" s="3"/>
      <c r="C262" s="3"/>
      <c r="D262" s="3"/>
      <c r="E262" s="3"/>
      <c r="F262" s="3"/>
      <c r="G262" s="3"/>
      <c r="H262" s="3"/>
      <c r="I262" s="3"/>
      <c r="J262" s="3"/>
      <c r="P262" s="3"/>
    </row>
    <row r="263" spans="2:16" x14ac:dyDescent="0.25">
      <c r="B263" s="3"/>
      <c r="C263" s="3"/>
      <c r="D263" s="3"/>
      <c r="E263" s="3"/>
      <c r="F263" s="3"/>
      <c r="G263" s="3"/>
      <c r="H263" s="3"/>
      <c r="I263" s="3"/>
      <c r="J263" s="3"/>
      <c r="P263" s="3"/>
    </row>
    <row r="264" spans="2:16" x14ac:dyDescent="0.25">
      <c r="B264" s="3"/>
      <c r="C264" s="3"/>
      <c r="D264" s="3"/>
      <c r="E264" s="3"/>
      <c r="F264" s="3"/>
      <c r="G264" s="3"/>
      <c r="H264" s="3"/>
      <c r="I264" s="3"/>
      <c r="J264" s="3"/>
      <c r="P264" s="3"/>
    </row>
    <row r="265" spans="2:16" x14ac:dyDescent="0.25">
      <c r="B265" s="3"/>
      <c r="C265" s="3"/>
      <c r="D265" s="3"/>
      <c r="E265" s="3"/>
      <c r="F265" s="3"/>
      <c r="G265" s="3"/>
      <c r="H265" s="3"/>
      <c r="I265" s="3"/>
      <c r="J265" s="3"/>
      <c r="P265" s="3"/>
    </row>
    <row r="266" spans="2:16" x14ac:dyDescent="0.25">
      <c r="B266" s="3"/>
      <c r="C266" s="3"/>
      <c r="D266" s="3"/>
      <c r="E266" s="3"/>
      <c r="F266" s="3"/>
      <c r="G266" s="3"/>
      <c r="H266" s="3"/>
      <c r="I266" s="3"/>
      <c r="J266" s="3"/>
      <c r="P266" s="3"/>
    </row>
    <row r="267" spans="2:16" x14ac:dyDescent="0.25">
      <c r="B267" s="3"/>
      <c r="C267" s="3"/>
      <c r="D267" s="3"/>
      <c r="E267" s="3"/>
      <c r="F267" s="3"/>
      <c r="G267" s="3"/>
      <c r="H267" s="3"/>
      <c r="I267" s="3"/>
      <c r="J267" s="3"/>
      <c r="P267" s="3"/>
    </row>
    <row r="268" spans="2:16" x14ac:dyDescent="0.25">
      <c r="B268" s="3"/>
      <c r="C268" s="3"/>
      <c r="D268" s="3"/>
      <c r="E268" s="3"/>
      <c r="F268" s="3"/>
      <c r="G268" s="3"/>
      <c r="H268" s="3"/>
      <c r="I268" s="3"/>
      <c r="J268" s="3"/>
      <c r="P268" s="3"/>
    </row>
    <row r="269" spans="2:16" x14ac:dyDescent="0.25">
      <c r="B269" s="3"/>
      <c r="C269" s="3"/>
      <c r="D269" s="3"/>
      <c r="E269" s="3"/>
      <c r="F269" s="3"/>
      <c r="G269" s="3"/>
      <c r="H269" s="3"/>
      <c r="I269" s="3"/>
      <c r="J269" s="3"/>
      <c r="P269" s="3"/>
    </row>
    <row r="270" spans="2:16" x14ac:dyDescent="0.25">
      <c r="B270" s="3"/>
      <c r="C270" s="3"/>
      <c r="D270" s="3"/>
      <c r="E270" s="3"/>
      <c r="F270" s="3"/>
      <c r="G270" s="3"/>
      <c r="H270" s="3"/>
      <c r="I270" s="3"/>
      <c r="J270" s="3"/>
      <c r="P270" s="3"/>
    </row>
    <row r="271" spans="2:16" x14ac:dyDescent="0.25">
      <c r="B271" s="3"/>
      <c r="C271" s="3"/>
      <c r="D271" s="3"/>
      <c r="E271" s="3"/>
      <c r="F271" s="3"/>
      <c r="G271" s="3"/>
      <c r="H271" s="3"/>
      <c r="I271" s="3"/>
      <c r="J271" s="3"/>
      <c r="P271" s="3"/>
    </row>
  </sheetData>
  <mergeCells count="7">
    <mergeCell ref="F2:S2"/>
    <mergeCell ref="T2:AE2"/>
    <mergeCell ref="AF2:AQ2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50FBF-E465-4DB1-A484-45F269DD8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3d3a-0b72-41c5-8503-c549f45285a6"/>
    <ds:schemaRef ds:uri="a513f063-4835-489a-9894-94176be57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4B0F9-3A38-40AB-A263-8074ECCA7C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F95C88-219B-4716-902C-6FB77346E7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vmr</vt:lpstr>
      <vt:lpstr>BD</vt:lpstr>
      <vt:lpstr>BD_temp</vt:lpstr>
      <vt:lpstr>datapipeline</vt:lpstr>
      <vt:lpstr>Prod. et Profil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AX01255</dc:creator>
  <cp:keywords/>
  <dc:description/>
  <cp:lastModifiedBy>Hermann Joel</cp:lastModifiedBy>
  <cp:revision/>
  <dcterms:created xsi:type="dcterms:W3CDTF">2015-03-02T13:18:45Z</dcterms:created>
  <dcterms:modified xsi:type="dcterms:W3CDTF">2022-11-30T14:07:31Z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0x0101000F86972ECB5F894380F3FC32D5ADAF3E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</Properties>
</file>