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oralex.sharepoint.com/sites/MarchsEnergie-FR-EquipeMarchs/Documents partages/Equipe Marchés/01_Général/04_Portefeuille/Gestion de portefeuille/in/"/>
    </mc:Choice>
  </mc:AlternateContent>
  <xr:revisionPtr revIDLastSave="3" documentId="13_ncr:1_{FB83F42C-8C9F-45CD-AE5D-423A65EC2562}" xr6:coauthVersionLast="47" xr6:coauthVersionMax="47" xr10:uidLastSave="{6DBAC374-89E9-48D7-B32A-F14BB0BB582D}"/>
  <bookViews>
    <workbookView xWindow="-110" yWindow="-110" windowWidth="19420" windowHeight="10420" firstSheet="1" activeTab="2" xr2:uid="{46405481-933A-425A-962F-70E6895CF630}"/>
  </bookViews>
  <sheets>
    <sheet name="Budget 2021" sheetId="1" r:id="rId1"/>
    <sheet name="BP2021 - Distribution mensuelle" sheetId="2" r:id="rId2"/>
    <sheet name="Budget 2022" sheetId="3" r:id="rId3"/>
    <sheet name="BP2022 - Distribution mensuelle" sheetId="4" r:id="rId4"/>
  </sheets>
  <definedNames>
    <definedName name="_xlnm._FilterDatabase" localSheetId="0" hidden="1">'Budget 2021'!$A$2:$W$104</definedName>
    <definedName name="_xlnm._FilterDatabase" localSheetId="2" hidden="1">'Budget 2022'!$A$2:$AJ$109</definedName>
  </definedNames>
  <calcPr calcId="191028" concurrentManualCount="16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64" i="3" l="1"/>
  <c r="U65" i="3"/>
  <c r="U59" i="3"/>
  <c r="U17" i="3"/>
  <c r="F83" i="3"/>
  <c r="F75" i="3"/>
  <c r="F69" i="3"/>
  <c r="F107" i="3"/>
  <c r="F106" i="3"/>
  <c r="F105" i="3"/>
  <c r="F104" i="3"/>
  <c r="DD47" i="4"/>
  <c r="DD46" i="4"/>
  <c r="DC41" i="4"/>
  <c r="DC47" i="4"/>
  <c r="DC46" i="4"/>
  <c r="DC45" i="4"/>
  <c r="DC44" i="4"/>
  <c r="DC43" i="4"/>
  <c r="DC42" i="4"/>
  <c r="DB42" i="4"/>
  <c r="DB43" i="4"/>
  <c r="DB47" i="4"/>
  <c r="DB46" i="4"/>
  <c r="DB45" i="4"/>
  <c r="DB44" i="4"/>
  <c r="DA44" i="4"/>
  <c r="DA45" i="4"/>
  <c r="DA46" i="4"/>
  <c r="DA47" i="4"/>
  <c r="Q68" i="3"/>
  <c r="Q67" i="3"/>
  <c r="P67" i="3"/>
  <c r="CR33" i="4"/>
  <c r="CR48" i="4" s="1"/>
  <c r="BX37" i="4"/>
  <c r="B37" i="4"/>
  <c r="M47" i="4"/>
  <c r="L47" i="4"/>
  <c r="M46" i="4"/>
  <c r="L46" i="4"/>
  <c r="M45" i="4"/>
  <c r="L45" i="4"/>
  <c r="M44" i="4"/>
  <c r="L44" i="4"/>
  <c r="M43" i="4"/>
  <c r="L43" i="4"/>
  <c r="M42" i="4"/>
  <c r="L42" i="4"/>
  <c r="M41" i="4"/>
  <c r="L41" i="4"/>
  <c r="M40" i="4"/>
  <c r="L40" i="4"/>
  <c r="M39" i="4"/>
  <c r="L39" i="4"/>
  <c r="M38" i="4"/>
  <c r="L38" i="4"/>
  <c r="M37" i="4"/>
  <c r="L37" i="4"/>
  <c r="CF36" i="4"/>
  <c r="BX36" i="4"/>
  <c r="BR36" i="4"/>
  <c r="M36" i="4"/>
  <c r="L36" i="4"/>
  <c r="CF38" i="4"/>
  <c r="S85" i="3"/>
  <c r="S29" i="3"/>
  <c r="S28" i="3"/>
  <c r="S27" i="3"/>
  <c r="S26" i="3"/>
  <c r="S61" i="3"/>
  <c r="S92" i="3"/>
  <c r="S91" i="3"/>
  <c r="S90" i="3"/>
  <c r="S89" i="3"/>
  <c r="S87" i="3"/>
  <c r="S68" i="3"/>
  <c r="U68" i="3" s="1"/>
  <c r="S67" i="3"/>
  <c r="U67" i="3" s="1"/>
  <c r="S66" i="3"/>
  <c r="T66" i="3" s="1"/>
  <c r="S63" i="3"/>
  <c r="U63" i="3" s="1"/>
  <c r="S62" i="3"/>
  <c r="U66" i="3" l="1"/>
  <c r="BX38" i="4"/>
  <c r="CF37" i="4"/>
  <c r="L48" i="4"/>
  <c r="M48" i="4"/>
  <c r="BX39" i="4"/>
  <c r="CF39" i="4"/>
  <c r="CF41" i="4"/>
  <c r="CF40" i="4"/>
  <c r="AF97" i="3"/>
  <c r="AG97" i="3"/>
  <c r="AF98" i="3"/>
  <c r="AG98" i="3"/>
  <c r="AF100" i="3"/>
  <c r="AG100" i="3"/>
  <c r="AF101" i="3"/>
  <c r="AG101" i="3"/>
  <c r="AF103" i="3"/>
  <c r="AG103" i="3"/>
  <c r="AG96" i="3"/>
  <c r="AF96" i="3"/>
  <c r="AF14" i="3"/>
  <c r="AG14" i="3"/>
  <c r="AF15" i="3"/>
  <c r="AG15" i="3"/>
  <c r="AF16" i="3"/>
  <c r="AG16" i="3"/>
  <c r="AF17" i="3"/>
  <c r="AG17" i="3"/>
  <c r="AF18" i="3"/>
  <c r="AG18" i="3"/>
  <c r="AF19" i="3"/>
  <c r="AG19" i="3"/>
  <c r="AF20" i="3"/>
  <c r="AG20" i="3"/>
  <c r="AF21" i="3"/>
  <c r="AG21" i="3"/>
  <c r="AF22" i="3"/>
  <c r="AG22" i="3"/>
  <c r="AF23" i="3"/>
  <c r="AG23" i="3"/>
  <c r="AF24" i="3"/>
  <c r="AG24" i="3"/>
  <c r="AF25" i="3"/>
  <c r="AG25" i="3"/>
  <c r="AF26" i="3"/>
  <c r="AG26" i="3"/>
  <c r="AF27" i="3"/>
  <c r="AG27" i="3"/>
  <c r="AF28" i="3"/>
  <c r="AG28" i="3"/>
  <c r="AF29" i="3"/>
  <c r="AG29" i="3"/>
  <c r="AF30" i="3"/>
  <c r="AG30" i="3"/>
  <c r="AF31" i="3"/>
  <c r="AG31" i="3"/>
  <c r="AF32" i="3"/>
  <c r="AG32" i="3"/>
  <c r="AF33" i="3"/>
  <c r="AG33" i="3"/>
  <c r="AF34" i="3"/>
  <c r="AG34" i="3"/>
  <c r="AF35" i="3"/>
  <c r="AG35" i="3"/>
  <c r="AF36" i="3"/>
  <c r="AG36" i="3"/>
  <c r="AF37" i="3"/>
  <c r="AG37" i="3"/>
  <c r="AF38" i="3"/>
  <c r="AG38" i="3"/>
  <c r="AF39" i="3"/>
  <c r="AG39" i="3"/>
  <c r="AF40" i="3"/>
  <c r="AG40" i="3"/>
  <c r="AF41" i="3"/>
  <c r="AG41" i="3"/>
  <c r="AF42" i="3"/>
  <c r="AG42" i="3"/>
  <c r="AF44" i="3"/>
  <c r="AG44" i="3"/>
  <c r="AF45" i="3"/>
  <c r="AG45" i="3"/>
  <c r="AF46" i="3"/>
  <c r="AG46" i="3"/>
  <c r="AF47" i="3"/>
  <c r="AG47" i="3"/>
  <c r="AF48" i="3"/>
  <c r="AG48" i="3"/>
  <c r="AF49" i="3"/>
  <c r="AG49" i="3"/>
  <c r="AF50" i="3"/>
  <c r="AG50" i="3"/>
  <c r="AF51" i="3"/>
  <c r="AG51" i="3"/>
  <c r="AF52" i="3"/>
  <c r="AG52" i="3"/>
  <c r="AF53" i="3"/>
  <c r="AG53" i="3"/>
  <c r="AF54" i="3"/>
  <c r="AG54" i="3"/>
  <c r="AF55" i="3"/>
  <c r="AG55" i="3"/>
  <c r="AF56" i="3"/>
  <c r="AG56" i="3"/>
  <c r="AF57" i="3"/>
  <c r="AG57" i="3"/>
  <c r="AF58" i="3"/>
  <c r="AG58" i="3"/>
  <c r="AF59" i="3"/>
  <c r="AG59" i="3"/>
  <c r="AF60" i="3"/>
  <c r="AG60" i="3"/>
  <c r="AF61" i="3"/>
  <c r="AG61" i="3"/>
  <c r="AF62" i="3"/>
  <c r="AG62" i="3"/>
  <c r="AF63" i="3"/>
  <c r="AG63" i="3"/>
  <c r="AF64" i="3"/>
  <c r="AG64" i="3"/>
  <c r="AF65" i="3"/>
  <c r="AG65" i="3"/>
  <c r="AF66" i="3"/>
  <c r="AG66" i="3"/>
  <c r="AF67" i="3"/>
  <c r="AG67" i="3"/>
  <c r="AF68" i="3"/>
  <c r="AG68" i="3"/>
  <c r="AF70" i="3"/>
  <c r="AG70" i="3"/>
  <c r="AF71" i="3"/>
  <c r="AG71" i="3"/>
  <c r="AF72" i="3"/>
  <c r="AG72" i="3"/>
  <c r="AF73" i="3"/>
  <c r="AG73" i="3"/>
  <c r="AF74" i="3"/>
  <c r="AG74" i="3"/>
  <c r="AF76" i="3"/>
  <c r="AG76" i="3"/>
  <c r="AF77" i="3"/>
  <c r="AG77" i="3"/>
  <c r="AF78" i="3"/>
  <c r="AG78" i="3"/>
  <c r="AF79" i="3"/>
  <c r="AG79" i="3"/>
  <c r="AF80" i="3"/>
  <c r="AG80" i="3"/>
  <c r="AF81" i="3"/>
  <c r="AG81" i="3"/>
  <c r="AF82" i="3"/>
  <c r="AG82" i="3"/>
  <c r="AF84" i="3"/>
  <c r="AG84" i="3"/>
  <c r="AF85" i="3"/>
  <c r="AG85" i="3"/>
  <c r="AF86" i="3"/>
  <c r="AG86" i="3"/>
  <c r="AF87" i="3"/>
  <c r="AG87" i="3"/>
  <c r="AF88" i="3"/>
  <c r="AG88" i="3"/>
  <c r="AF89" i="3"/>
  <c r="AG89" i="3"/>
  <c r="AF90" i="3"/>
  <c r="AG90" i="3"/>
  <c r="AF91" i="3"/>
  <c r="AG91" i="3"/>
  <c r="AF92" i="3"/>
  <c r="AG92" i="3"/>
  <c r="AG13" i="3"/>
  <c r="AF13" i="3"/>
  <c r="AF4" i="3"/>
  <c r="AG4" i="3"/>
  <c r="AF5" i="3"/>
  <c r="AG5" i="3"/>
  <c r="AF6" i="3"/>
  <c r="AG6" i="3"/>
  <c r="AF7" i="3"/>
  <c r="AG7" i="3"/>
  <c r="AF8" i="3"/>
  <c r="AG8" i="3"/>
  <c r="AF9" i="3"/>
  <c r="AG9" i="3"/>
  <c r="AF10" i="3"/>
  <c r="AG10" i="3"/>
  <c r="AG3" i="3"/>
  <c r="AF3" i="3"/>
  <c r="T98" i="3"/>
  <c r="CU33" i="4" s="1"/>
  <c r="CU43" i="4" s="1"/>
  <c r="T86" i="3"/>
  <c r="CI33" i="4" s="1"/>
  <c r="T79" i="3"/>
  <c r="CB33" i="4" s="1"/>
  <c r="T77" i="3"/>
  <c r="BZ33" i="4" s="1"/>
  <c r="BZ42" i="4" s="1"/>
  <c r="T72" i="3"/>
  <c r="BU33" i="4" s="1"/>
  <c r="BU42" i="4" s="1"/>
  <c r="T71" i="3"/>
  <c r="BT33" i="4" s="1"/>
  <c r="T58" i="3"/>
  <c r="BG33" i="4" s="1"/>
  <c r="BG42" i="4" s="1"/>
  <c r="T57" i="3"/>
  <c r="BF33" i="4" s="1"/>
  <c r="BF39" i="4" s="1"/>
  <c r="T55" i="3"/>
  <c r="BD33" i="4" s="1"/>
  <c r="BD44" i="4" s="1"/>
  <c r="T50" i="3"/>
  <c r="AY33" i="4" s="1"/>
  <c r="AY44" i="4" s="1"/>
  <c r="T49" i="3"/>
  <c r="AX33" i="4" s="1"/>
  <c r="T42" i="3"/>
  <c r="AQ33" i="4" s="1"/>
  <c r="T41" i="3"/>
  <c r="AP33" i="4" s="1"/>
  <c r="AP41" i="4" s="1"/>
  <c r="T40" i="3"/>
  <c r="AO33" i="4" s="1"/>
  <c r="AO46" i="4" s="1"/>
  <c r="T34" i="3"/>
  <c r="AI33" i="4" s="1"/>
  <c r="AI42" i="4" s="1"/>
  <c r="T33" i="3"/>
  <c r="AH33" i="4" s="1"/>
  <c r="AH47" i="4" s="1"/>
  <c r="T32" i="3"/>
  <c r="AG33" i="4" s="1"/>
  <c r="AG38" i="4" s="1"/>
  <c r="T14" i="3"/>
  <c r="O33" i="4" s="1"/>
  <c r="T13" i="3"/>
  <c r="N33" i="4" s="1"/>
  <c r="N40" i="4" s="1"/>
  <c r="T6" i="3"/>
  <c r="G33" i="4" s="1"/>
  <c r="G46" i="4" s="1"/>
  <c r="T7" i="3"/>
  <c r="H33" i="4" s="1"/>
  <c r="H43" i="4" s="1"/>
  <c r="T8" i="3"/>
  <c r="I33" i="4" s="1"/>
  <c r="I36" i="4" s="1"/>
  <c r="T9" i="3"/>
  <c r="J33" i="4" s="1"/>
  <c r="J37" i="4" s="1"/>
  <c r="T10" i="3"/>
  <c r="K33" i="4" s="1"/>
  <c r="K44" i="4" s="1"/>
  <c r="T3" i="3"/>
  <c r="D33" i="4" s="1"/>
  <c r="D38" i="4" s="1"/>
  <c r="L29" i="3"/>
  <c r="L28" i="3"/>
  <c r="T28" i="3" s="1"/>
  <c r="AC33" i="4" s="1"/>
  <c r="AC47" i="4" s="1"/>
  <c r="L27" i="3"/>
  <c r="T27" i="3" s="1"/>
  <c r="AB33" i="4" s="1"/>
  <c r="AB41" i="4" s="1"/>
  <c r="L26" i="3"/>
  <c r="T26" i="3" s="1"/>
  <c r="AA33" i="4" s="1"/>
  <c r="AA45" i="4" s="1"/>
  <c r="L63" i="3"/>
  <c r="L60" i="3"/>
  <c r="L59" i="3"/>
  <c r="L85" i="3"/>
  <c r="T85" i="3" s="1"/>
  <c r="CH33" i="4" s="1"/>
  <c r="CH36" i="4" s="1"/>
  <c r="L92" i="3"/>
  <c r="L66" i="3"/>
  <c r="L91" i="3"/>
  <c r="L90" i="3"/>
  <c r="L89" i="3"/>
  <c r="L87" i="3"/>
  <c r="L88" i="3"/>
  <c r="T4" i="3"/>
  <c r="E33" i="4" s="1"/>
  <c r="E43" i="4" s="1"/>
  <c r="T5" i="3"/>
  <c r="F33" i="4" s="1"/>
  <c r="F37" i="4" s="1"/>
  <c r="T15" i="3"/>
  <c r="P33" i="4" s="1"/>
  <c r="P46" i="4" s="1"/>
  <c r="T16" i="3"/>
  <c r="Q33" i="4" s="1"/>
  <c r="T17" i="3"/>
  <c r="R33" i="4" s="1"/>
  <c r="R44" i="4" s="1"/>
  <c r="T18" i="3"/>
  <c r="S33" i="4" s="1"/>
  <c r="S46" i="4" s="1"/>
  <c r="T19" i="3"/>
  <c r="T33" i="4" s="1"/>
  <c r="T38" i="4" s="1"/>
  <c r="T20" i="3"/>
  <c r="U33" i="4" s="1"/>
  <c r="U39" i="4" s="1"/>
  <c r="T21" i="3"/>
  <c r="V33" i="4" s="1"/>
  <c r="V39" i="4" s="1"/>
  <c r="T22" i="3"/>
  <c r="W33" i="4" s="1"/>
  <c r="W46" i="4" s="1"/>
  <c r="T23" i="3"/>
  <c r="X33" i="4" s="1"/>
  <c r="T24" i="3"/>
  <c r="Y33" i="4" s="1"/>
  <c r="Y46" i="4" s="1"/>
  <c r="T25" i="3"/>
  <c r="Z33" i="4" s="1"/>
  <c r="Z42" i="4" s="1"/>
  <c r="T29" i="3"/>
  <c r="AD33" i="4" s="1"/>
  <c r="AD38" i="4" s="1"/>
  <c r="T35" i="3"/>
  <c r="AJ33" i="4" s="1"/>
  <c r="T36" i="3"/>
  <c r="AK33" i="4" s="1"/>
  <c r="AK36" i="4" s="1"/>
  <c r="T37" i="3"/>
  <c r="AL33" i="4" s="1"/>
  <c r="AL45" i="4" s="1"/>
  <c r="T44" i="3"/>
  <c r="AS33" i="4" s="1"/>
  <c r="T45" i="3"/>
  <c r="AT33" i="4" s="1"/>
  <c r="T46" i="3"/>
  <c r="AU33" i="4" s="1"/>
  <c r="AU47" i="4" s="1"/>
  <c r="T48" i="3"/>
  <c r="AW33" i="4" s="1"/>
  <c r="AW40" i="4" s="1"/>
  <c r="T54" i="3"/>
  <c r="BC33" i="4" s="1"/>
  <c r="BC45" i="4" s="1"/>
  <c r="T56" i="3"/>
  <c r="BE33" i="4" s="1"/>
  <c r="BE43" i="4" s="1"/>
  <c r="T70" i="3"/>
  <c r="BS34" i="4" s="1"/>
  <c r="BS48" i="4" s="1"/>
  <c r="T76" i="3"/>
  <c r="BY33" i="4" s="1"/>
  <c r="BY40" i="4" s="1"/>
  <c r="T78" i="3"/>
  <c r="CA33" i="4" s="1"/>
  <c r="CA36" i="4" s="1"/>
  <c r="T80" i="3"/>
  <c r="CC33" i="4" s="1"/>
  <c r="CC42" i="4" s="1"/>
  <c r="T81" i="3"/>
  <c r="CD33" i="4" s="1"/>
  <c r="T96" i="3"/>
  <c r="CS33" i="4" s="1"/>
  <c r="T97" i="3"/>
  <c r="CT33" i="4" s="1"/>
  <c r="CT47" i="4" s="1"/>
  <c r="T100" i="3"/>
  <c r="CW33" i="4" s="1"/>
  <c r="T101" i="3"/>
  <c r="CX33" i="4" s="1"/>
  <c r="S84" i="3"/>
  <c r="S82" i="3"/>
  <c r="S31" i="3"/>
  <c r="T31" i="3" s="1"/>
  <c r="AF33" i="4" s="1"/>
  <c r="S30" i="3"/>
  <c r="U30" i="3" s="1"/>
  <c r="R30" i="3"/>
  <c r="U4" i="3"/>
  <c r="U5" i="3"/>
  <c r="U6" i="3"/>
  <c r="U7" i="3"/>
  <c r="U8" i="3"/>
  <c r="U9" i="3"/>
  <c r="U10" i="3"/>
  <c r="U11" i="3"/>
  <c r="U12" i="3"/>
  <c r="U13" i="3"/>
  <c r="U14" i="3"/>
  <c r="U15" i="3"/>
  <c r="U16" i="3"/>
  <c r="U18" i="3"/>
  <c r="U19" i="3"/>
  <c r="U20" i="3"/>
  <c r="U21" i="3"/>
  <c r="U22" i="3"/>
  <c r="U23" i="3"/>
  <c r="U24" i="3"/>
  <c r="U25" i="3"/>
  <c r="U26" i="3"/>
  <c r="U28" i="3"/>
  <c r="U29" i="3"/>
  <c r="U32" i="3"/>
  <c r="U33" i="3"/>
  <c r="U34" i="3"/>
  <c r="U35" i="3"/>
  <c r="U36" i="3"/>
  <c r="U37" i="3"/>
  <c r="U40" i="3"/>
  <c r="U41" i="3"/>
  <c r="U42" i="3"/>
  <c r="U43" i="3"/>
  <c r="U44" i="3"/>
  <c r="U45" i="3"/>
  <c r="U46" i="3"/>
  <c r="U48" i="3"/>
  <c r="U49" i="3"/>
  <c r="U50" i="3"/>
  <c r="U54" i="3"/>
  <c r="U55" i="3"/>
  <c r="U56" i="3"/>
  <c r="U57" i="3"/>
  <c r="U58" i="3"/>
  <c r="U70" i="3"/>
  <c r="U71" i="3"/>
  <c r="U72" i="3"/>
  <c r="U76" i="3"/>
  <c r="U77" i="3"/>
  <c r="U78" i="3"/>
  <c r="U79" i="3"/>
  <c r="U80" i="3"/>
  <c r="U81" i="3"/>
  <c r="U86" i="3"/>
  <c r="U95" i="3"/>
  <c r="U96" i="3"/>
  <c r="U97" i="3"/>
  <c r="U98" i="3"/>
  <c r="U101" i="3"/>
  <c r="U103" i="3"/>
  <c r="U3" i="3"/>
  <c r="Q82" i="3"/>
  <c r="BF47" i="4" l="1"/>
  <c r="AL41" i="4"/>
  <c r="CU46" i="4"/>
  <c r="E45" i="4"/>
  <c r="BF43" i="4"/>
  <c r="CU45" i="4"/>
  <c r="AH43" i="4"/>
  <c r="CH37" i="4"/>
  <c r="H39" i="4"/>
  <c r="Z47" i="4"/>
  <c r="BC42" i="4"/>
  <c r="F47" i="4"/>
  <c r="W47" i="4"/>
  <c r="H37" i="4"/>
  <c r="R39" i="4"/>
  <c r="W44" i="4"/>
  <c r="F36" i="4"/>
  <c r="AY41" i="4"/>
  <c r="W36" i="4"/>
  <c r="AP45" i="4"/>
  <c r="H41" i="4"/>
  <c r="W45" i="4"/>
  <c r="AW47" i="4"/>
  <c r="S43" i="4"/>
  <c r="BU46" i="4"/>
  <c r="AH45" i="4"/>
  <c r="H46" i="4"/>
  <c r="AA39" i="4"/>
  <c r="AG44" i="4"/>
  <c r="AP38" i="4"/>
  <c r="CA42" i="4"/>
  <c r="CT44" i="4"/>
  <c r="AH46" i="4"/>
  <c r="AD42" i="4"/>
  <c r="E37" i="4"/>
  <c r="CT46" i="4"/>
  <c r="W40" i="4"/>
  <c r="BC36" i="4"/>
  <c r="BC43" i="4"/>
  <c r="BD38" i="4"/>
  <c r="AY37" i="4"/>
  <c r="AJ37" i="4"/>
  <c r="AJ47" i="4"/>
  <c r="AJ39" i="4"/>
  <c r="AJ45" i="4"/>
  <c r="AJ46" i="4"/>
  <c r="AJ42" i="4"/>
  <c r="AJ41" i="4"/>
  <c r="AJ36" i="4"/>
  <c r="AJ40" i="4"/>
  <c r="AJ44" i="4"/>
  <c r="CS36" i="4"/>
  <c r="CS37" i="4"/>
  <c r="CS45" i="4"/>
  <c r="CS42" i="4"/>
  <c r="CS38" i="4"/>
  <c r="CS40" i="4"/>
  <c r="CS39" i="4"/>
  <c r="CS44" i="4"/>
  <c r="CS47" i="4"/>
  <c r="AW36" i="4"/>
  <c r="AW37" i="4"/>
  <c r="AW43" i="4"/>
  <c r="AW45" i="4"/>
  <c r="AW39" i="4"/>
  <c r="AW46" i="4"/>
  <c r="AW41" i="4"/>
  <c r="AW42" i="4"/>
  <c r="Z36" i="4"/>
  <c r="Z40" i="4"/>
  <c r="Z37" i="4"/>
  <c r="Z46" i="4"/>
  <c r="Z45" i="4"/>
  <c r="R36" i="4"/>
  <c r="R40" i="4"/>
  <c r="R41" i="4"/>
  <c r="R42" i="4"/>
  <c r="R37" i="4"/>
  <c r="R47" i="4"/>
  <c r="AA44" i="4"/>
  <c r="AA37" i="4"/>
  <c r="AA43" i="4"/>
  <c r="AA36" i="4"/>
  <c r="AA47" i="4"/>
  <c r="AA46" i="4"/>
  <c r="AA41" i="4"/>
  <c r="H36" i="4"/>
  <c r="H38" i="4"/>
  <c r="H44" i="4"/>
  <c r="AP40" i="4"/>
  <c r="AP36" i="4"/>
  <c r="AP37" i="4"/>
  <c r="AP43" i="4"/>
  <c r="BU36" i="4"/>
  <c r="BU47" i="4"/>
  <c r="BU40" i="4"/>
  <c r="BU37" i="4"/>
  <c r="BU44" i="4"/>
  <c r="BU39" i="4"/>
  <c r="BU38" i="4"/>
  <c r="I39" i="4"/>
  <c r="AI47" i="4"/>
  <c r="CT40" i="4"/>
  <c r="BZ37" i="4"/>
  <c r="BF46" i="4"/>
  <c r="AP39" i="4"/>
  <c r="AH38" i="4"/>
  <c r="Z44" i="4"/>
  <c r="H40" i="4"/>
  <c r="BC44" i="4"/>
  <c r="AA42" i="4"/>
  <c r="AO41" i="4"/>
  <c r="G37" i="4"/>
  <c r="BE47" i="4"/>
  <c r="J42" i="4"/>
  <c r="P41" i="4"/>
  <c r="BU45" i="4"/>
  <c r="BG38" i="4"/>
  <c r="D44" i="4"/>
  <c r="AU43" i="4"/>
  <c r="AU42" i="4"/>
  <c r="AU45" i="4"/>
  <c r="AU37" i="4"/>
  <c r="AU38" i="4"/>
  <c r="AU40" i="4"/>
  <c r="AU41" i="4"/>
  <c r="AU39" i="4"/>
  <c r="AB38" i="4"/>
  <c r="AB37" i="4"/>
  <c r="AB40" i="4"/>
  <c r="AB45" i="4"/>
  <c r="AB46" i="4"/>
  <c r="AB39" i="4"/>
  <c r="G40" i="4"/>
  <c r="G45" i="4"/>
  <c r="G41" i="4"/>
  <c r="G42" i="4"/>
  <c r="G47" i="4"/>
  <c r="G39" i="4"/>
  <c r="AQ36" i="4"/>
  <c r="AQ44" i="4"/>
  <c r="AQ39" i="4"/>
  <c r="AQ46" i="4"/>
  <c r="AQ42" i="4"/>
  <c r="AQ40" i="4"/>
  <c r="AQ45" i="4"/>
  <c r="AQ37" i="4"/>
  <c r="AQ38" i="4"/>
  <c r="BZ47" i="4"/>
  <c r="BZ46" i="4"/>
  <c r="BZ44" i="4"/>
  <c r="BZ39" i="4"/>
  <c r="BZ38" i="4"/>
  <c r="BZ40" i="4"/>
  <c r="AJ38" i="4"/>
  <c r="AI38" i="4"/>
  <c r="CC40" i="4"/>
  <c r="AB47" i="4"/>
  <c r="Y41" i="4"/>
  <c r="BE46" i="4"/>
  <c r="Y47" i="4"/>
  <c r="J41" i="4"/>
  <c r="BZ43" i="4"/>
  <c r="AF36" i="4"/>
  <c r="AF39" i="4"/>
  <c r="AF46" i="4"/>
  <c r="AF44" i="4"/>
  <c r="AF43" i="4"/>
  <c r="AF45" i="4"/>
  <c r="AF42" i="4"/>
  <c r="X36" i="4"/>
  <c r="X38" i="4"/>
  <c r="X46" i="4"/>
  <c r="X39" i="4"/>
  <c r="X44" i="4"/>
  <c r="X47" i="4"/>
  <c r="X41" i="4"/>
  <c r="X40" i="4"/>
  <c r="X42" i="4"/>
  <c r="AX40" i="4"/>
  <c r="AX36" i="4"/>
  <c r="AX41" i="4"/>
  <c r="AX37" i="4"/>
  <c r="AX45" i="4"/>
  <c r="AX38" i="4"/>
  <c r="AQ47" i="4"/>
  <c r="BZ36" i="4"/>
  <c r="Y44" i="4"/>
  <c r="AJ43" i="4"/>
  <c r="CD41" i="4"/>
  <c r="CD36" i="4"/>
  <c r="CD40" i="4"/>
  <c r="CD44" i="4"/>
  <c r="CD42" i="4"/>
  <c r="CD43" i="4"/>
  <c r="CD37" i="4"/>
  <c r="CD45" i="4"/>
  <c r="CD47" i="4"/>
  <c r="Q39" i="4"/>
  <c r="Q45" i="4"/>
  <c r="Q44" i="4"/>
  <c r="Q38" i="4"/>
  <c r="Q47" i="4"/>
  <c r="Q41" i="4"/>
  <c r="Q42" i="4"/>
  <c r="Q43" i="4"/>
  <c r="Q36" i="4"/>
  <c r="Q37" i="4"/>
  <c r="AT41" i="4"/>
  <c r="AT43" i="4"/>
  <c r="AT42" i="4"/>
  <c r="AT39" i="4"/>
  <c r="AT37" i="4"/>
  <c r="AT44" i="4"/>
  <c r="AT47" i="4"/>
  <c r="AT45" i="4"/>
  <c r="AT46" i="4"/>
  <c r="AC37" i="4"/>
  <c r="AC38" i="4"/>
  <c r="AC46" i="4"/>
  <c r="AC45" i="4"/>
  <c r="AC41" i="4"/>
  <c r="AC42" i="4"/>
  <c r="AC36" i="4"/>
  <c r="AC44" i="4"/>
  <c r="AC39" i="4"/>
  <c r="AC43" i="4"/>
  <c r="AC40" i="4"/>
  <c r="CB38" i="4"/>
  <c r="CB42" i="4"/>
  <c r="CB47" i="4"/>
  <c r="CB36" i="4"/>
  <c r="CB41" i="4"/>
  <c r="CB46" i="4"/>
  <c r="CB45" i="4"/>
  <c r="CB39" i="4"/>
  <c r="CB40" i="4"/>
  <c r="CB44" i="4"/>
  <c r="CB37" i="4"/>
  <c r="BG37" i="4"/>
  <c r="AI45" i="4"/>
  <c r="AX39" i="4"/>
  <c r="AB42" i="4"/>
  <c r="CA41" i="4"/>
  <c r="CA37" i="4"/>
  <c r="CA43" i="4"/>
  <c r="CA44" i="4"/>
  <c r="CA39" i="4"/>
  <c r="CA45" i="4"/>
  <c r="CA47" i="4"/>
  <c r="CA38" i="4"/>
  <c r="CA46" i="4"/>
  <c r="AS37" i="4"/>
  <c r="AS44" i="4"/>
  <c r="AS43" i="4"/>
  <c r="AS40" i="4"/>
  <c r="AS46" i="4"/>
  <c r="AS45" i="4"/>
  <c r="AS39" i="4"/>
  <c r="AS42" i="4"/>
  <c r="AS41" i="4"/>
  <c r="AS38" i="4"/>
  <c r="W38" i="4"/>
  <c r="W37" i="4"/>
  <c r="W41" i="4"/>
  <c r="W42" i="4"/>
  <c r="F46" i="4"/>
  <c r="F41" i="4"/>
  <c r="F45" i="4"/>
  <c r="F42" i="4"/>
  <c r="F39" i="4"/>
  <c r="F43" i="4"/>
  <c r="O41" i="4"/>
  <c r="O46" i="4"/>
  <c r="O39" i="4"/>
  <c r="O36" i="4"/>
  <c r="O42" i="4"/>
  <c r="O38" i="4"/>
  <c r="AY36" i="4"/>
  <c r="AY40" i="4"/>
  <c r="AY47" i="4"/>
  <c r="AY38" i="4"/>
  <c r="AY46" i="4"/>
  <c r="AY45" i="4"/>
  <c r="AY43" i="4"/>
  <c r="CI42" i="4"/>
  <c r="CI46" i="4"/>
  <c r="CI40" i="4"/>
  <c r="CI43" i="4"/>
  <c r="CI36" i="4"/>
  <c r="CI38" i="4"/>
  <c r="CI41" i="4"/>
  <c r="CI45" i="4"/>
  <c r="CI47" i="4"/>
  <c r="CI44" i="4"/>
  <c r="J45" i="4"/>
  <c r="I37" i="4"/>
  <c r="AI46" i="4"/>
  <c r="AP42" i="4"/>
  <c r="Q40" i="4"/>
  <c r="AT38" i="4"/>
  <c r="AF37" i="4"/>
  <c r="AU36" i="4"/>
  <c r="AX42" i="4"/>
  <c r="AP44" i="4"/>
  <c r="R45" i="4"/>
  <c r="H45" i="4"/>
  <c r="BC46" i="4"/>
  <c r="AB43" i="4"/>
  <c r="CA40" i="4"/>
  <c r="AT36" i="4"/>
  <c r="AW38" i="4"/>
  <c r="Y45" i="4"/>
  <c r="AY39" i="4"/>
  <c r="AT40" i="4"/>
  <c r="AS36" i="4"/>
  <c r="AF40" i="4"/>
  <c r="F44" i="4"/>
  <c r="O44" i="4"/>
  <c r="CI39" i="4"/>
  <c r="BY39" i="4"/>
  <c r="BY38" i="4"/>
  <c r="BY43" i="4"/>
  <c r="BY42" i="4"/>
  <c r="BY47" i="4"/>
  <c r="BY46" i="4"/>
  <c r="BY37" i="4"/>
  <c r="BY45" i="4"/>
  <c r="BY44" i="4"/>
  <c r="BY36" i="4"/>
  <c r="AL40" i="4"/>
  <c r="AL38" i="4"/>
  <c r="AL42" i="4"/>
  <c r="AL37" i="4"/>
  <c r="AL44" i="4"/>
  <c r="AL43" i="4"/>
  <c r="AL47" i="4"/>
  <c r="AL36" i="4"/>
  <c r="V38" i="4"/>
  <c r="V44" i="4"/>
  <c r="V45" i="4"/>
  <c r="V47" i="4"/>
  <c r="V37" i="4"/>
  <c r="V42" i="4"/>
  <c r="V40" i="4"/>
  <c r="E39" i="4"/>
  <c r="E38" i="4"/>
  <c r="E41" i="4"/>
  <c r="E46" i="4"/>
  <c r="E36" i="4"/>
  <c r="E40" i="4"/>
  <c r="E42" i="4"/>
  <c r="E47" i="4"/>
  <c r="E44" i="4"/>
  <c r="CH44" i="4"/>
  <c r="CH43" i="4"/>
  <c r="CH45" i="4"/>
  <c r="CH40" i="4"/>
  <c r="CH46" i="4"/>
  <c r="CH42" i="4"/>
  <c r="CH47" i="4"/>
  <c r="CH38" i="4"/>
  <c r="D36" i="4"/>
  <c r="D39" i="4"/>
  <c r="D41" i="4"/>
  <c r="D46" i="4"/>
  <c r="D45" i="4"/>
  <c r="D43" i="4"/>
  <c r="D47" i="4"/>
  <c r="D40" i="4"/>
  <c r="D37" i="4"/>
  <c r="AG36" i="4"/>
  <c r="AG42" i="4"/>
  <c r="AG39" i="4"/>
  <c r="AG41" i="4"/>
  <c r="AG45" i="4"/>
  <c r="AG46" i="4"/>
  <c r="AG47" i="4"/>
  <c r="AG40" i="4"/>
  <c r="AG37" i="4"/>
  <c r="BD39" i="4"/>
  <c r="BD36" i="4"/>
  <c r="BD42" i="4"/>
  <c r="BD47" i="4"/>
  <c r="BD41" i="4"/>
  <c r="BD43" i="4"/>
  <c r="BD46" i="4"/>
  <c r="BD37" i="4"/>
  <c r="BD45" i="4"/>
  <c r="CU36" i="4"/>
  <c r="CU40" i="4"/>
  <c r="CU42" i="4"/>
  <c r="CU47" i="4"/>
  <c r="CU41" i="4"/>
  <c r="CU37" i="4"/>
  <c r="CU38" i="4"/>
  <c r="CU44" i="4"/>
  <c r="BG44" i="4"/>
  <c r="AI44" i="4"/>
  <c r="CC47" i="4"/>
  <c r="F40" i="4"/>
  <c r="AF38" i="4"/>
  <c r="X37" i="4"/>
  <c r="AX43" i="4"/>
  <c r="AP46" i="4"/>
  <c r="Z39" i="4"/>
  <c r="R38" i="4"/>
  <c r="H47" i="4"/>
  <c r="AB36" i="4"/>
  <c r="AB44" i="4"/>
  <c r="AW44" i="4"/>
  <c r="O40" i="4"/>
  <c r="F38" i="4"/>
  <c r="V36" i="4"/>
  <c r="AO44" i="4"/>
  <c r="AY42" i="4"/>
  <c r="CD39" i="4"/>
  <c r="AF41" i="4"/>
  <c r="CH41" i="4"/>
  <c r="O47" i="4"/>
  <c r="CS46" i="4"/>
  <c r="BY41" i="4"/>
  <c r="CB43" i="4"/>
  <c r="Y43" i="4"/>
  <c r="Y42" i="4"/>
  <c r="Y39" i="4"/>
  <c r="Y36" i="4"/>
  <c r="Y37" i="4"/>
  <c r="Y40" i="4"/>
  <c r="Y38" i="4"/>
  <c r="CC36" i="4"/>
  <c r="CC41" i="4"/>
  <c r="CC38" i="4"/>
  <c r="CC43" i="4"/>
  <c r="CC45" i="4"/>
  <c r="CC37" i="4"/>
  <c r="CC44" i="4"/>
  <c r="P45" i="4"/>
  <c r="P36" i="4"/>
  <c r="P39" i="4"/>
  <c r="P40" i="4"/>
  <c r="P42" i="4"/>
  <c r="P44" i="4"/>
  <c r="P43" i="4"/>
  <c r="P47" i="4"/>
  <c r="P38" i="4"/>
  <c r="N41" i="4"/>
  <c r="N45" i="4"/>
  <c r="N37" i="4"/>
  <c r="N43" i="4"/>
  <c r="N38" i="4"/>
  <c r="N44" i="4"/>
  <c r="N47" i="4"/>
  <c r="N39" i="4"/>
  <c r="N46" i="4"/>
  <c r="N42" i="4"/>
  <c r="CX41" i="4"/>
  <c r="CX44" i="4"/>
  <c r="CX46" i="4"/>
  <c r="CX43" i="4"/>
  <c r="CX37" i="4"/>
  <c r="CX45" i="4"/>
  <c r="CX47" i="4"/>
  <c r="CX42" i="4"/>
  <c r="CX40" i="4"/>
  <c r="CX36" i="4"/>
  <c r="CX39" i="4"/>
  <c r="CX38" i="4"/>
  <c r="AK38" i="4"/>
  <c r="AK44" i="4"/>
  <c r="AK43" i="4"/>
  <c r="AK40" i="4"/>
  <c r="AK47" i="4"/>
  <c r="AK41" i="4"/>
  <c r="AK42" i="4"/>
  <c r="AK46" i="4"/>
  <c r="AK37" i="4"/>
  <c r="AK48" i="4" s="1"/>
  <c r="U37" i="4"/>
  <c r="U36" i="4"/>
  <c r="U46" i="4"/>
  <c r="U43" i="4"/>
  <c r="U41" i="4"/>
  <c r="U47" i="4"/>
  <c r="U40" i="4"/>
  <c r="U42" i="4"/>
  <c r="U45" i="4"/>
  <c r="U44" i="4"/>
  <c r="K47" i="4"/>
  <c r="K42" i="4"/>
  <c r="K38" i="4"/>
  <c r="K36" i="4"/>
  <c r="K46" i="4"/>
  <c r="K45" i="4"/>
  <c r="K39" i="4"/>
  <c r="K41" i="4"/>
  <c r="K37" i="4"/>
  <c r="K40" i="4"/>
  <c r="AH40" i="4"/>
  <c r="AH37" i="4"/>
  <c r="AH42" i="4"/>
  <c r="AH36" i="4"/>
  <c r="AH41" i="4"/>
  <c r="AH44" i="4"/>
  <c r="BF36" i="4"/>
  <c r="BF42" i="4"/>
  <c r="BF40" i="4"/>
  <c r="BF45" i="4"/>
  <c r="BF38" i="4"/>
  <c r="O43" i="4"/>
  <c r="AI40" i="4"/>
  <c r="V46" i="4"/>
  <c r="BF41" i="4"/>
  <c r="U38" i="4"/>
  <c r="P37" i="4"/>
  <c r="BF37" i="4"/>
  <c r="AX44" i="4"/>
  <c r="AP47" i="4"/>
  <c r="Z38" i="4"/>
  <c r="R43" i="4"/>
  <c r="H42" i="4"/>
  <c r="W39" i="4"/>
  <c r="AA40" i="4"/>
  <c r="CC39" i="4"/>
  <c r="CI37" i="4"/>
  <c r="N36" i="4"/>
  <c r="Q46" i="4"/>
  <c r="CC46" i="4"/>
  <c r="CD38" i="4"/>
  <c r="BD40" i="4"/>
  <c r="AF47" i="4"/>
  <c r="V41" i="4"/>
  <c r="O45" i="4"/>
  <c r="CS41" i="4"/>
  <c r="AQ41" i="4"/>
  <c r="AS47" i="4"/>
  <c r="BZ41" i="4"/>
  <c r="G38" i="4"/>
  <c r="AX46" i="4"/>
  <c r="G44" i="4"/>
  <c r="AU44" i="4"/>
  <c r="CD46" i="4"/>
  <c r="X45" i="4"/>
  <c r="CS43" i="4"/>
  <c r="AQ43" i="4"/>
  <c r="AL46" i="4"/>
  <c r="AK45" i="4"/>
  <c r="CW42" i="4"/>
  <c r="CW39" i="4"/>
  <c r="CW46" i="4"/>
  <c r="CW41" i="4"/>
  <c r="CW43" i="4"/>
  <c r="CW47" i="4"/>
  <c r="CW38" i="4"/>
  <c r="CW44" i="4"/>
  <c r="CW45" i="4"/>
  <c r="CW36" i="4"/>
  <c r="CW40" i="4"/>
  <c r="CW37" i="4"/>
  <c r="BE39" i="4"/>
  <c r="BE44" i="4"/>
  <c r="BE45" i="4"/>
  <c r="BE36" i="4"/>
  <c r="BE42" i="4"/>
  <c r="BE40" i="4"/>
  <c r="BE37" i="4"/>
  <c r="BE41" i="4"/>
  <c r="T43" i="4"/>
  <c r="T42" i="4"/>
  <c r="T39" i="4"/>
  <c r="T45" i="4"/>
  <c r="T44" i="4"/>
  <c r="T36" i="4"/>
  <c r="T47" i="4"/>
  <c r="T46" i="4"/>
  <c r="T37" i="4"/>
  <c r="T41" i="4"/>
  <c r="T40" i="4"/>
  <c r="J40" i="4"/>
  <c r="J39" i="4"/>
  <c r="J46" i="4"/>
  <c r="J47" i="4"/>
  <c r="J44" i="4"/>
  <c r="J43" i="4"/>
  <c r="J36" i="4"/>
  <c r="J38" i="4"/>
  <c r="AI43" i="4"/>
  <c r="AI37" i="4"/>
  <c r="AI36" i="4"/>
  <c r="AI41" i="4"/>
  <c r="BG36" i="4"/>
  <c r="BG41" i="4"/>
  <c r="BG40" i="4"/>
  <c r="BG47" i="4"/>
  <c r="BG46" i="4"/>
  <c r="BG45" i="4"/>
  <c r="BG43" i="4"/>
  <c r="CT41" i="4"/>
  <c r="CT36" i="4"/>
  <c r="CT45" i="4"/>
  <c r="CT38" i="4"/>
  <c r="CT43" i="4"/>
  <c r="CT42" i="4"/>
  <c r="CT39" i="4"/>
  <c r="BC37" i="4"/>
  <c r="BC41" i="4"/>
  <c r="BC40" i="4"/>
  <c r="BC38" i="4"/>
  <c r="BC47" i="4"/>
  <c r="AD41" i="4"/>
  <c r="AD47" i="4"/>
  <c r="AD39" i="4"/>
  <c r="AD40" i="4"/>
  <c r="AD36" i="4"/>
  <c r="AD46" i="4"/>
  <c r="AD37" i="4"/>
  <c r="AD44" i="4"/>
  <c r="AD43" i="4"/>
  <c r="AD45" i="4"/>
  <c r="S47" i="4"/>
  <c r="S42" i="4"/>
  <c r="S41" i="4"/>
  <c r="S40" i="4"/>
  <c r="S38" i="4"/>
  <c r="S39" i="4"/>
  <c r="S36" i="4"/>
  <c r="S44" i="4"/>
  <c r="S37" i="4"/>
  <c r="S45" i="4"/>
  <c r="I46" i="4"/>
  <c r="I40" i="4"/>
  <c r="I41" i="4"/>
  <c r="I38" i="4"/>
  <c r="I42" i="4"/>
  <c r="I43" i="4"/>
  <c r="I45" i="4"/>
  <c r="I44" i="4"/>
  <c r="I47" i="4"/>
  <c r="AO39" i="4"/>
  <c r="AO36" i="4"/>
  <c r="AO40" i="4"/>
  <c r="AO43" i="4"/>
  <c r="AO38" i="4"/>
  <c r="AO42" i="4"/>
  <c r="AO47" i="4"/>
  <c r="AO37" i="4"/>
  <c r="AO45" i="4"/>
  <c r="BT39" i="4"/>
  <c r="BT36" i="4"/>
  <c r="BT46" i="4"/>
  <c r="BT43" i="4"/>
  <c r="BT37" i="4"/>
  <c r="BT42" i="4"/>
  <c r="BT41" i="4"/>
  <c r="BT44" i="4"/>
  <c r="BT47" i="4"/>
  <c r="BT38" i="4"/>
  <c r="BT45" i="4"/>
  <c r="BT40" i="4"/>
  <c r="CH39" i="4"/>
  <c r="AI39" i="4"/>
  <c r="Z41" i="4"/>
  <c r="AL39" i="4"/>
  <c r="G36" i="4"/>
  <c r="BF44" i="4"/>
  <c r="AX47" i="4"/>
  <c r="AH39" i="4"/>
  <c r="Z43" i="4"/>
  <c r="R46" i="4"/>
  <c r="BZ45" i="4"/>
  <c r="BC39" i="4"/>
  <c r="W43" i="4"/>
  <c r="AA38" i="4"/>
  <c r="BU41" i="4"/>
  <c r="AK39" i="4"/>
  <c r="O37" i="4"/>
  <c r="CU39" i="4"/>
  <c r="BE38" i="4"/>
  <c r="AG43" i="4"/>
  <c r="G43" i="4"/>
  <c r="AU46" i="4"/>
  <c r="K43" i="4"/>
  <c r="CT37" i="4"/>
  <c r="X43" i="4"/>
  <c r="BU43" i="4"/>
  <c r="BG39" i="4"/>
  <c r="D42" i="4"/>
  <c r="V43" i="4"/>
  <c r="U85" i="3"/>
  <c r="T30" i="3"/>
  <c r="AE33" i="4" s="1"/>
  <c r="U27" i="3"/>
  <c r="U31" i="3"/>
  <c r="BD48" i="4" l="1"/>
  <c r="AH48" i="4"/>
  <c r="CA48" i="4"/>
  <c r="O48" i="4"/>
  <c r="F48" i="4"/>
  <c r="BC48" i="4"/>
  <c r="T48" i="4"/>
  <c r="AU48" i="4"/>
  <c r="CT48" i="4"/>
  <c r="U48" i="4"/>
  <c r="D48" i="4"/>
  <c r="BY48" i="4"/>
  <c r="AY48" i="4"/>
  <c r="AP48" i="4"/>
  <c r="R48" i="4"/>
  <c r="AD48" i="4"/>
  <c r="CW48" i="4"/>
  <c r="AS48" i="4"/>
  <c r="CC48" i="4"/>
  <c r="AB48" i="4"/>
  <c r="S48" i="4"/>
  <c r="AT48" i="4"/>
  <c r="CU48" i="4"/>
  <c r="AI48" i="4"/>
  <c r="BE48" i="4"/>
  <c r="CI48" i="4"/>
  <c r="CB48" i="4"/>
  <c r="Y48" i="4"/>
  <c r="CH48" i="4"/>
  <c r="AC48" i="4"/>
  <c r="W48" i="4"/>
  <c r="BF48" i="4"/>
  <c r="K48" i="4"/>
  <c r="N48" i="4"/>
  <c r="CD48" i="4"/>
  <c r="AG48" i="4"/>
  <c r="V48" i="4"/>
  <c r="I48" i="4"/>
  <c r="AX48" i="4"/>
  <c r="BZ48" i="4"/>
  <c r="AQ48" i="4"/>
  <c r="BU48" i="4"/>
  <c r="H48" i="4"/>
  <c r="AA48" i="4"/>
  <c r="Z48" i="4"/>
  <c r="AW48" i="4"/>
  <c r="CS48" i="4"/>
  <c r="AJ48" i="4"/>
  <c r="CX48" i="4"/>
  <c r="AL48" i="4"/>
  <c r="BT48" i="4"/>
  <c r="J48" i="4"/>
  <c r="X48" i="4"/>
  <c r="G48" i="4"/>
  <c r="AO48" i="4"/>
  <c r="P48" i="4"/>
  <c r="AF48" i="4"/>
  <c r="E48" i="4"/>
  <c r="Q48" i="4"/>
  <c r="BG48" i="4"/>
  <c r="AE41" i="4"/>
  <c r="AE42" i="4"/>
  <c r="AE39" i="4"/>
  <c r="AE45" i="4"/>
  <c r="AE44" i="4"/>
  <c r="AE47" i="4"/>
  <c r="AE40" i="4"/>
  <c r="AE46" i="4"/>
  <c r="AE43" i="4"/>
  <c r="AE37" i="4"/>
  <c r="AE36" i="4"/>
  <c r="AE38" i="4"/>
  <c r="Q84" i="3"/>
  <c r="P84" i="3"/>
  <c r="P82" i="3"/>
  <c r="AE48" i="4" l="1"/>
  <c r="T84" i="3"/>
  <c r="CG33" i="4" s="1"/>
  <c r="U84" i="3"/>
  <c r="K53" i="3"/>
  <c r="K52" i="3"/>
  <c r="K51" i="3"/>
  <c r="K39" i="3"/>
  <c r="K38" i="3"/>
  <c r="CG36" i="4" l="1"/>
  <c r="CG40" i="4"/>
  <c r="CG44" i="4"/>
  <c r="CG45" i="4"/>
  <c r="CG38" i="4"/>
  <c r="CG43" i="4"/>
  <c r="CG37" i="4"/>
  <c r="CG42" i="4"/>
  <c r="CG47" i="4"/>
  <c r="CG39" i="4"/>
  <c r="CG46" i="4"/>
  <c r="CG41" i="4"/>
  <c r="T52" i="3"/>
  <c r="BA33" i="4" s="1"/>
  <c r="U52" i="3"/>
  <c r="U51" i="3"/>
  <c r="T51" i="3"/>
  <c r="AZ33" i="4" s="1"/>
  <c r="U38" i="3"/>
  <c r="T38" i="3"/>
  <c r="AM33" i="4" s="1"/>
  <c r="U39" i="3"/>
  <c r="T39" i="3"/>
  <c r="AN33" i="4" s="1"/>
  <c r="U53" i="3"/>
  <c r="T53" i="3"/>
  <c r="BB33" i="4" s="1"/>
  <c r="K92" i="3"/>
  <c r="K91" i="3"/>
  <c r="K90" i="3"/>
  <c r="K89" i="3"/>
  <c r="K74" i="3"/>
  <c r="K73" i="3"/>
  <c r="K62" i="3"/>
  <c r="K61" i="3"/>
  <c r="CG48" i="4" l="1"/>
  <c r="BA37" i="4"/>
  <c r="BA44" i="4"/>
  <c r="BA43" i="4"/>
  <c r="BA40" i="4"/>
  <c r="BA38" i="4"/>
  <c r="BA36" i="4"/>
  <c r="BA46" i="4"/>
  <c r="BA45" i="4"/>
  <c r="BA42" i="4"/>
  <c r="BA41" i="4"/>
  <c r="BA47" i="4"/>
  <c r="BA39" i="4"/>
  <c r="BB38" i="4"/>
  <c r="BB40" i="4"/>
  <c r="BB45" i="4"/>
  <c r="BB46" i="4"/>
  <c r="BB44" i="4"/>
  <c r="BB36" i="4"/>
  <c r="BB43" i="4"/>
  <c r="BB42" i="4"/>
  <c r="BB47" i="4"/>
  <c r="BB39" i="4"/>
  <c r="BB41" i="4"/>
  <c r="BB37" i="4"/>
  <c r="AN38" i="4"/>
  <c r="AN39" i="4"/>
  <c r="AN36" i="4"/>
  <c r="AN43" i="4"/>
  <c r="AN42" i="4"/>
  <c r="AN45" i="4"/>
  <c r="AN46" i="4"/>
  <c r="AN41" i="4"/>
  <c r="AN40" i="4"/>
  <c r="AN44" i="4"/>
  <c r="AN37" i="4"/>
  <c r="AN47" i="4"/>
  <c r="AM38" i="4"/>
  <c r="AM40" i="4"/>
  <c r="AM45" i="4"/>
  <c r="AM47" i="4"/>
  <c r="AM43" i="4"/>
  <c r="AM46" i="4"/>
  <c r="AM41" i="4"/>
  <c r="AM42" i="4"/>
  <c r="AM44" i="4"/>
  <c r="AM37" i="4"/>
  <c r="AM36" i="4"/>
  <c r="AM39" i="4"/>
  <c r="AZ44" i="4"/>
  <c r="AZ43" i="4"/>
  <c r="AZ39" i="4"/>
  <c r="AZ36" i="4"/>
  <c r="AZ47" i="4"/>
  <c r="AZ41" i="4"/>
  <c r="AZ38" i="4"/>
  <c r="AZ40" i="4"/>
  <c r="AZ46" i="4"/>
  <c r="AZ45" i="4"/>
  <c r="AZ42" i="4"/>
  <c r="AZ37" i="4"/>
  <c r="U73" i="3"/>
  <c r="T73" i="3"/>
  <c r="BV33" i="4" s="1"/>
  <c r="U74" i="3"/>
  <c r="T74" i="3"/>
  <c r="BW33" i="4" s="1"/>
  <c r="K47" i="3"/>
  <c r="H64" i="3"/>
  <c r="T64" i="3" s="1"/>
  <c r="BM33" i="4" s="1"/>
  <c r="H65" i="3"/>
  <c r="F43" i="3"/>
  <c r="N87" i="3"/>
  <c r="H66" i="3"/>
  <c r="G107" i="3"/>
  <c r="U107" i="3" s="1"/>
  <c r="G104" i="3"/>
  <c r="U104" i="3" s="1"/>
  <c r="G105" i="3"/>
  <c r="U105" i="3" s="1"/>
  <c r="G106" i="3"/>
  <c r="U106" i="3" s="1"/>
  <c r="G100" i="3"/>
  <c r="U100" i="3" s="1"/>
  <c r="CZ3" i="4"/>
  <c r="CZ4" i="4"/>
  <c r="CZ5" i="4"/>
  <c r="CZ6" i="4"/>
  <c r="CZ7" i="4"/>
  <c r="CZ8" i="4"/>
  <c r="CZ9" i="4"/>
  <c r="CZ10" i="4"/>
  <c r="CZ11" i="4"/>
  <c r="CZ12" i="4"/>
  <c r="CZ13" i="4"/>
  <c r="CZ14" i="4"/>
  <c r="CZ30" i="4"/>
  <c r="N88" i="3"/>
  <c r="G94" i="3"/>
  <c r="U94" i="3" s="1"/>
  <c r="F94" i="3"/>
  <c r="G93" i="3"/>
  <c r="U93" i="3" s="1"/>
  <c r="F93" i="3"/>
  <c r="AM48" i="4" l="1"/>
  <c r="AN48" i="4"/>
  <c r="BA48" i="4"/>
  <c r="AZ48" i="4"/>
  <c r="BB48" i="4"/>
  <c r="BW36" i="4"/>
  <c r="BW37" i="4"/>
  <c r="BW44" i="4"/>
  <c r="BW43" i="4"/>
  <c r="BW38" i="4"/>
  <c r="BW46" i="4"/>
  <c r="BW45" i="4"/>
  <c r="BW42" i="4"/>
  <c r="BW47" i="4"/>
  <c r="BW39" i="4"/>
  <c r="BW41" i="4"/>
  <c r="BW40" i="4"/>
  <c r="BV36" i="4"/>
  <c r="BV40" i="4"/>
  <c r="BV43" i="4"/>
  <c r="BV37" i="4"/>
  <c r="BV45" i="4"/>
  <c r="BV47" i="4"/>
  <c r="BV46" i="4"/>
  <c r="BV44" i="4"/>
  <c r="BV42" i="4"/>
  <c r="BV41" i="4"/>
  <c r="BV38" i="4"/>
  <c r="BV39" i="4"/>
  <c r="BM39" i="4"/>
  <c r="BM41" i="4"/>
  <c r="BM40" i="4"/>
  <c r="BM47" i="4"/>
  <c r="BM46" i="4"/>
  <c r="BM42" i="4"/>
  <c r="BM45" i="4"/>
  <c r="BM43" i="4"/>
  <c r="BM44" i="4"/>
  <c r="BM37" i="4"/>
  <c r="BM36" i="4"/>
  <c r="BM38" i="4"/>
  <c r="AF105" i="3"/>
  <c r="AG105" i="3"/>
  <c r="T43" i="3"/>
  <c r="AR33" i="4" s="1"/>
  <c r="AF43" i="3"/>
  <c r="AG43" i="3"/>
  <c r="T93" i="3"/>
  <c r="CP33" i="4" s="1"/>
  <c r="AF93" i="3"/>
  <c r="AG93" i="3"/>
  <c r="AF107" i="3"/>
  <c r="AG107" i="3"/>
  <c r="T94" i="3"/>
  <c r="CQ33" i="4" s="1"/>
  <c r="AF94" i="3"/>
  <c r="AG94" i="3"/>
  <c r="T65" i="3"/>
  <c r="BN33" i="4" s="1"/>
  <c r="AF106" i="3"/>
  <c r="AG106" i="3"/>
  <c r="T47" i="3"/>
  <c r="AV33" i="4" s="1"/>
  <c r="U47" i="3"/>
  <c r="T88" i="3"/>
  <c r="CK33" i="4" s="1"/>
  <c r="U88" i="3"/>
  <c r="AF104" i="3"/>
  <c r="AG104" i="3"/>
  <c r="T104" i="3"/>
  <c r="T105" i="3"/>
  <c r="DB34" i="4" s="1"/>
  <c r="DB48" i="4" s="1"/>
  <c r="T107" i="3"/>
  <c r="DD34" i="4" s="1"/>
  <c r="DD48" i="4" s="1"/>
  <c r="T106" i="3"/>
  <c r="DC34" i="4" s="1"/>
  <c r="DC48" i="4" s="1"/>
  <c r="K60" i="3"/>
  <c r="K59" i="3"/>
  <c r="BW48" i="4" l="1"/>
  <c r="BV48" i="4"/>
  <c r="AV38" i="4"/>
  <c r="AV39" i="4"/>
  <c r="AV36" i="4"/>
  <c r="AV43" i="4"/>
  <c r="AV42" i="4"/>
  <c r="AV41" i="4"/>
  <c r="AV40" i="4"/>
  <c r="AV46" i="4"/>
  <c r="AV45" i="4"/>
  <c r="AV44" i="4"/>
  <c r="AV37" i="4"/>
  <c r="AV47" i="4"/>
  <c r="CP36" i="4"/>
  <c r="CP39" i="4"/>
  <c r="CP46" i="4"/>
  <c r="CP40" i="4"/>
  <c r="CP37" i="4"/>
  <c r="CP38" i="4"/>
  <c r="CP43" i="4"/>
  <c r="CP42" i="4"/>
  <c r="CP47" i="4"/>
  <c r="CP41" i="4"/>
  <c r="CP45" i="4"/>
  <c r="CP44" i="4"/>
  <c r="CK40" i="4"/>
  <c r="CK36" i="4"/>
  <c r="CK42" i="4"/>
  <c r="CK38" i="4"/>
  <c r="CK39" i="4"/>
  <c r="CK45" i="4"/>
  <c r="CK37" i="4"/>
  <c r="CK41" i="4"/>
  <c r="CK43" i="4"/>
  <c r="CK47" i="4"/>
  <c r="CK46" i="4"/>
  <c r="CK44" i="4"/>
  <c r="CQ41" i="4"/>
  <c r="CQ47" i="4"/>
  <c r="CQ46" i="4"/>
  <c r="CQ39" i="4"/>
  <c r="CQ45" i="4"/>
  <c r="CQ37" i="4"/>
  <c r="CQ43" i="4"/>
  <c r="CQ44" i="4"/>
  <c r="CQ38" i="4"/>
  <c r="CQ42" i="4"/>
  <c r="CQ36" i="4"/>
  <c r="CQ40" i="4"/>
  <c r="AR38" i="4"/>
  <c r="AR41" i="4"/>
  <c r="AR43" i="4"/>
  <c r="AR47" i="4"/>
  <c r="AR39" i="4"/>
  <c r="AR40" i="4"/>
  <c r="AR37" i="4"/>
  <c r="AR46" i="4"/>
  <c r="AR44" i="4"/>
  <c r="AR45" i="4"/>
  <c r="AR42" i="4"/>
  <c r="AR36" i="4"/>
  <c r="DA43" i="4"/>
  <c r="DA34" i="4"/>
  <c r="BN36" i="4"/>
  <c r="BN38" i="4"/>
  <c r="BN42" i="4"/>
  <c r="BN47" i="4"/>
  <c r="BN39" i="4"/>
  <c r="BN44" i="4"/>
  <c r="BN37" i="4"/>
  <c r="BN46" i="4"/>
  <c r="BN40" i="4"/>
  <c r="BN43" i="4"/>
  <c r="BN41" i="4"/>
  <c r="BN45" i="4"/>
  <c r="BM48" i="4"/>
  <c r="T59" i="3"/>
  <c r="BH33" i="4" s="1"/>
  <c r="T60" i="3"/>
  <c r="BI33" i="4" s="1"/>
  <c r="U60" i="3"/>
  <c r="K109" i="3"/>
  <c r="K108" i="3"/>
  <c r="G75" i="3"/>
  <c r="U75" i="3" s="1"/>
  <c r="C83" i="3"/>
  <c r="D83" i="3"/>
  <c r="G83" i="3"/>
  <c r="U83" i="3" s="1"/>
  <c r="G69" i="3"/>
  <c r="U69" i="3" s="1"/>
  <c r="H103" i="3"/>
  <c r="T103" i="3" s="1"/>
  <c r="CZ33" i="4" s="1"/>
  <c r="F99" i="3"/>
  <c r="CK48" i="4" l="1"/>
  <c r="AV48" i="4"/>
  <c r="CP48" i="4"/>
  <c r="AR48" i="4"/>
  <c r="CQ48" i="4"/>
  <c r="BI38" i="4"/>
  <c r="BI44" i="4"/>
  <c r="BI43" i="4"/>
  <c r="BI40" i="4"/>
  <c r="BI37" i="4"/>
  <c r="BI39" i="4"/>
  <c r="BI41" i="4"/>
  <c r="BI46" i="4"/>
  <c r="BI45" i="4"/>
  <c r="BI47" i="4"/>
  <c r="BI42" i="4"/>
  <c r="BI36" i="4"/>
  <c r="BH36" i="4"/>
  <c r="BH46" i="4"/>
  <c r="BH41" i="4"/>
  <c r="BH37" i="4"/>
  <c r="BH45" i="4"/>
  <c r="BH44" i="4"/>
  <c r="BH43" i="4"/>
  <c r="BH42" i="4"/>
  <c r="BH47" i="4"/>
  <c r="BH38" i="4"/>
  <c r="BH39" i="4"/>
  <c r="BH40" i="4"/>
  <c r="CZ44" i="4"/>
  <c r="CZ36" i="4"/>
  <c r="CZ43" i="4"/>
  <c r="CZ42" i="4"/>
  <c r="CZ45" i="4"/>
  <c r="CZ41" i="4"/>
  <c r="CZ40" i="4"/>
  <c r="CZ47" i="4"/>
  <c r="CZ39" i="4"/>
  <c r="CZ37" i="4"/>
  <c r="CZ46" i="4"/>
  <c r="CZ38" i="4"/>
  <c r="DA48" i="4"/>
  <c r="BN48" i="4"/>
  <c r="T75" i="3"/>
  <c r="BX34" i="4" s="1"/>
  <c r="BX48" i="4" s="1"/>
  <c r="AF75" i="3"/>
  <c r="AG75" i="3"/>
  <c r="T83" i="3"/>
  <c r="CF34" i="4" s="1"/>
  <c r="CF48" i="4" s="1"/>
  <c r="AF83" i="3"/>
  <c r="AG83" i="3"/>
  <c r="T99" i="3"/>
  <c r="CV33" i="4" s="1"/>
  <c r="AF99" i="3"/>
  <c r="AG99" i="3"/>
  <c r="T69" i="3"/>
  <c r="BR34" i="4" s="1"/>
  <c r="AF69" i="3"/>
  <c r="AG69" i="3"/>
  <c r="G102" i="3"/>
  <c r="U102" i="3" s="1"/>
  <c r="G99" i="3"/>
  <c r="U99" i="3" s="1"/>
  <c r="F102" i="3"/>
  <c r="BI48" i="4" l="1"/>
  <c r="BH48" i="4"/>
  <c r="CV36" i="4"/>
  <c r="CV40" i="4"/>
  <c r="CV47" i="4"/>
  <c r="CV42" i="4"/>
  <c r="CV44" i="4"/>
  <c r="CV45" i="4"/>
  <c r="CV46" i="4"/>
  <c r="CV39" i="4"/>
  <c r="CV38" i="4"/>
  <c r="CV37" i="4"/>
  <c r="CV41" i="4"/>
  <c r="CV43" i="4"/>
  <c r="CZ48" i="4"/>
  <c r="BR48" i="4"/>
  <c r="F108" i="3"/>
  <c r="T102" i="3"/>
  <c r="CY33" i="4" s="1"/>
  <c r="AF102" i="3"/>
  <c r="AG102" i="3"/>
  <c r="BO33" i="4"/>
  <c r="U90" i="3"/>
  <c r="U89" i="3"/>
  <c r="T91" i="3"/>
  <c r="CN33" i="4" s="1"/>
  <c r="U62" i="3"/>
  <c r="T61" i="3"/>
  <c r="BJ33" i="4" s="1"/>
  <c r="U92" i="3"/>
  <c r="T68" i="3"/>
  <c r="BQ33" i="4" s="1"/>
  <c r="T63" i="3"/>
  <c r="BL33" i="4" s="1"/>
  <c r="U91" i="3"/>
  <c r="T67" i="3"/>
  <c r="BP33" i="4" s="1"/>
  <c r="X104" i="3"/>
  <c r="Y104" i="3" s="1"/>
  <c r="Z103" i="3"/>
  <c r="AA103" i="3" s="1"/>
  <c r="Z105" i="3"/>
  <c r="AA105" i="3" s="1"/>
  <c r="X106" i="3"/>
  <c r="Y106" i="3" s="1"/>
  <c r="V94" i="3"/>
  <c r="CV48" i="4" l="1"/>
  <c r="CN37" i="4"/>
  <c r="CN36" i="4"/>
  <c r="CN43" i="4"/>
  <c r="CN38" i="4"/>
  <c r="CN45" i="4"/>
  <c r="CN44" i="4"/>
  <c r="CN42" i="4"/>
  <c r="CN47" i="4"/>
  <c r="CN39" i="4"/>
  <c r="CN40" i="4"/>
  <c r="CN41" i="4"/>
  <c r="CN46" i="4"/>
  <c r="BL36" i="4"/>
  <c r="BL38" i="4"/>
  <c r="BL39" i="4"/>
  <c r="BL42" i="4"/>
  <c r="BL46" i="4"/>
  <c r="BL47" i="4"/>
  <c r="BL40" i="4"/>
  <c r="BL45" i="4"/>
  <c r="BL37" i="4"/>
  <c r="BL44" i="4"/>
  <c r="BL43" i="4"/>
  <c r="BL41" i="4"/>
  <c r="CY43" i="4"/>
  <c r="CY45" i="4"/>
  <c r="CY42" i="4"/>
  <c r="CY39" i="4"/>
  <c r="CY38" i="4"/>
  <c r="CY46" i="4"/>
  <c r="CY47" i="4"/>
  <c r="CY44" i="4"/>
  <c r="CY40" i="4"/>
  <c r="CY36" i="4"/>
  <c r="CY37" i="4"/>
  <c r="CY41" i="4"/>
  <c r="BJ38" i="4"/>
  <c r="BJ44" i="4"/>
  <c r="BJ47" i="4"/>
  <c r="BJ46" i="4"/>
  <c r="BJ45" i="4"/>
  <c r="BJ36" i="4"/>
  <c r="BJ41" i="4"/>
  <c r="BJ43" i="4"/>
  <c r="BJ37" i="4"/>
  <c r="BJ42" i="4"/>
  <c r="BJ40" i="4"/>
  <c r="BJ39" i="4"/>
  <c r="BQ37" i="4"/>
  <c r="BQ41" i="4"/>
  <c r="BQ40" i="4"/>
  <c r="BQ47" i="4"/>
  <c r="BQ39" i="4"/>
  <c r="BQ46" i="4"/>
  <c r="BQ45" i="4"/>
  <c r="BQ44" i="4"/>
  <c r="BQ38" i="4"/>
  <c r="BQ43" i="4"/>
  <c r="BQ36" i="4"/>
  <c r="BQ42" i="4"/>
  <c r="BP38" i="4"/>
  <c r="BP37" i="4"/>
  <c r="BP41" i="4"/>
  <c r="BP40" i="4"/>
  <c r="BP36" i="4"/>
  <c r="BP45" i="4"/>
  <c r="BP39" i="4"/>
  <c r="BP44" i="4"/>
  <c r="BP46" i="4"/>
  <c r="BP43" i="4"/>
  <c r="BP42" i="4"/>
  <c r="BP47" i="4"/>
  <c r="BO40" i="4"/>
  <c r="BO45" i="4"/>
  <c r="BO38" i="4"/>
  <c r="BO42" i="4"/>
  <c r="BO47" i="4"/>
  <c r="BO44" i="4"/>
  <c r="BO39" i="4"/>
  <c r="BO37" i="4"/>
  <c r="BO43" i="4"/>
  <c r="BO41" i="4"/>
  <c r="BO46" i="4"/>
  <c r="BO36" i="4"/>
  <c r="T92" i="3"/>
  <c r="CO33" i="4" s="1"/>
  <c r="U61" i="3"/>
  <c r="T62" i="3"/>
  <c r="BK33" i="4" s="1"/>
  <c r="T89" i="3"/>
  <c r="CL33" i="4" s="1"/>
  <c r="T90" i="3"/>
  <c r="CM33" i="4" s="1"/>
  <c r="T87" i="3"/>
  <c r="CJ33" i="4" s="1"/>
  <c r="U87" i="3"/>
  <c r="Z104" i="3"/>
  <c r="AA104" i="3" s="1"/>
  <c r="X103" i="3"/>
  <c r="Y103" i="3" s="1"/>
  <c r="X105" i="3"/>
  <c r="Y105" i="3" s="1"/>
  <c r="Z106" i="3"/>
  <c r="AA106" i="3" s="1"/>
  <c r="Z102" i="3"/>
  <c r="AA102" i="3" s="1"/>
  <c r="X102" i="3"/>
  <c r="Y102" i="3" s="1"/>
  <c r="BJ48" i="4" l="1"/>
  <c r="BL48" i="4"/>
  <c r="CY48" i="4"/>
  <c r="CN48" i="4"/>
  <c r="CJ39" i="4"/>
  <c r="CJ38" i="4"/>
  <c r="CJ42" i="4"/>
  <c r="CJ41" i="4"/>
  <c r="CJ36" i="4"/>
  <c r="CJ46" i="4"/>
  <c r="CJ44" i="4"/>
  <c r="CJ43" i="4"/>
  <c r="CJ47" i="4"/>
  <c r="CJ37" i="4"/>
  <c r="CJ45" i="4"/>
  <c r="CJ40" i="4"/>
  <c r="CJ48" i="4" s="1"/>
  <c r="CM44" i="4"/>
  <c r="CM47" i="4"/>
  <c r="CM46" i="4"/>
  <c r="CM38" i="4"/>
  <c r="CM36" i="4"/>
  <c r="CM39" i="4"/>
  <c r="CM41" i="4"/>
  <c r="CM37" i="4"/>
  <c r="CM45" i="4"/>
  <c r="CM40" i="4"/>
  <c r="CM42" i="4"/>
  <c r="CM43" i="4"/>
  <c r="CL36" i="4"/>
  <c r="CL40" i="4"/>
  <c r="CL46" i="4"/>
  <c r="CL38" i="4"/>
  <c r="CL37" i="4"/>
  <c r="CL41" i="4"/>
  <c r="CL39" i="4"/>
  <c r="CL42" i="4"/>
  <c r="CL44" i="4"/>
  <c r="CL45" i="4"/>
  <c r="CL47" i="4"/>
  <c r="CL43" i="4"/>
  <c r="BK41" i="4"/>
  <c r="BK40" i="4"/>
  <c r="BK46" i="4"/>
  <c r="BK38" i="4"/>
  <c r="BK37" i="4"/>
  <c r="BK45" i="4"/>
  <c r="BK47" i="4"/>
  <c r="BK43" i="4"/>
  <c r="BK44" i="4"/>
  <c r="BK42" i="4"/>
  <c r="BK39" i="4"/>
  <c r="BK36" i="4"/>
  <c r="CO36" i="4"/>
  <c r="CO38" i="4"/>
  <c r="CO39" i="4"/>
  <c r="CO37" i="4"/>
  <c r="CO42" i="4"/>
  <c r="CO40" i="4"/>
  <c r="CO47" i="4"/>
  <c r="CO41" i="4"/>
  <c r="CO46" i="4"/>
  <c r="CO45" i="4"/>
  <c r="CO44" i="4"/>
  <c r="CO43" i="4"/>
  <c r="BQ48" i="4"/>
  <c r="BP48" i="4"/>
  <c r="BO48" i="4"/>
  <c r="O13" i="1"/>
  <c r="J7" i="3"/>
  <c r="J8" i="3"/>
  <c r="J9" i="3"/>
  <c r="J10" i="3"/>
  <c r="D108" i="3"/>
  <c r="C108" i="3"/>
  <c r="CL48" i="4" l="1"/>
  <c r="CM48" i="4"/>
  <c r="CO48" i="4"/>
  <c r="BK48" i="4"/>
  <c r="Z9" i="3"/>
  <c r="AA9" i="3" s="1"/>
  <c r="Z8" i="3"/>
  <c r="AA8" i="3" s="1"/>
  <c r="Z7" i="3"/>
  <c r="AA7" i="3" s="1"/>
  <c r="Z10" i="3"/>
  <c r="AA10" i="3" s="1"/>
  <c r="CY30" i="4"/>
  <c r="CV30" i="4"/>
  <c r="CV14" i="4" s="1"/>
  <c r="CU30" i="4"/>
  <c r="CT30" i="4"/>
  <c r="CS30" i="4"/>
  <c r="CO30" i="4"/>
  <c r="CN30" i="4"/>
  <c r="CM30" i="4"/>
  <c r="CL30" i="4"/>
  <c r="CK30" i="4"/>
  <c r="CJ30" i="4"/>
  <c r="CI30" i="4"/>
  <c r="CH30" i="4"/>
  <c r="CG30" i="4"/>
  <c r="CF30" i="4"/>
  <c r="CE30" i="4"/>
  <c r="CD30" i="4"/>
  <c r="CC30" i="4"/>
  <c r="CC14" i="4" s="1"/>
  <c r="CB30" i="4"/>
  <c r="CA30" i="4"/>
  <c r="BZ30" i="4"/>
  <c r="BY30" i="4"/>
  <c r="BX30" i="4"/>
  <c r="BW30" i="4"/>
  <c r="BV30" i="4"/>
  <c r="BU30" i="4"/>
  <c r="BU14" i="4" s="1"/>
  <c r="BT30" i="4"/>
  <c r="BS30" i="4"/>
  <c r="BR30" i="4"/>
  <c r="BQ30" i="4"/>
  <c r="BP30" i="4"/>
  <c r="BO30" i="4"/>
  <c r="BN30" i="4"/>
  <c r="BM30" i="4"/>
  <c r="BM14" i="4" s="1"/>
  <c r="BL30" i="4"/>
  <c r="BK30" i="4"/>
  <c r="BJ30" i="4"/>
  <c r="BI30" i="4"/>
  <c r="BH30" i="4"/>
  <c r="BG30" i="4"/>
  <c r="BF30" i="4"/>
  <c r="BE30" i="4"/>
  <c r="BE14" i="4" s="1"/>
  <c r="BD30" i="4"/>
  <c r="BC30" i="4"/>
  <c r="BB30" i="4"/>
  <c r="BA30" i="4"/>
  <c r="AZ30" i="4"/>
  <c r="AY30" i="4"/>
  <c r="AX30" i="4"/>
  <c r="AW30" i="4"/>
  <c r="AW14" i="4" s="1"/>
  <c r="AV30" i="4"/>
  <c r="AU30" i="4"/>
  <c r="AT30" i="4"/>
  <c r="AS30" i="4"/>
  <c r="AR30" i="4"/>
  <c r="AQ30" i="4"/>
  <c r="AP30" i="4"/>
  <c r="AO30" i="4"/>
  <c r="AO14" i="4" s="1"/>
  <c r="AN30" i="4"/>
  <c r="AM30" i="4"/>
  <c r="AL30" i="4"/>
  <c r="AK30" i="4"/>
  <c r="AJ30" i="4"/>
  <c r="AI30" i="4"/>
  <c r="AH30" i="4"/>
  <c r="AG30" i="4"/>
  <c r="AG14" i="4" s="1"/>
  <c r="AF30" i="4"/>
  <c r="AE30" i="4"/>
  <c r="AD30" i="4"/>
  <c r="AC30" i="4"/>
  <c r="AB30" i="4"/>
  <c r="AA30" i="4"/>
  <c r="Z30" i="4"/>
  <c r="Y30" i="4"/>
  <c r="Y14" i="4" s="1"/>
  <c r="X30" i="4"/>
  <c r="W30" i="4"/>
  <c r="V30" i="4"/>
  <c r="U30" i="4"/>
  <c r="T30" i="4"/>
  <c r="S30" i="4"/>
  <c r="R30" i="4"/>
  <c r="Q30" i="4"/>
  <c r="Q14" i="4" s="1"/>
  <c r="P30" i="4"/>
  <c r="O30" i="4"/>
  <c r="N30" i="4"/>
  <c r="M30" i="4"/>
  <c r="L30" i="4"/>
  <c r="K30" i="4"/>
  <c r="K14" i="4" s="1"/>
  <c r="J30" i="4"/>
  <c r="I30" i="4"/>
  <c r="I14" i="4" s="1"/>
  <c r="H30" i="4"/>
  <c r="G30" i="4"/>
  <c r="F30" i="4"/>
  <c r="F14" i="4" s="1"/>
  <c r="E30" i="4"/>
  <c r="D30" i="4"/>
  <c r="CY14" i="4"/>
  <c r="CU14" i="4"/>
  <c r="CT14" i="4"/>
  <c r="CS14" i="4"/>
  <c r="CO14" i="4"/>
  <c r="CN14" i="4"/>
  <c r="CM14" i="4"/>
  <c r="CL14" i="4"/>
  <c r="CK14" i="4"/>
  <c r="CJ14" i="4"/>
  <c r="CI14" i="4"/>
  <c r="CH14" i="4"/>
  <c r="CG14" i="4"/>
  <c r="CF14" i="4"/>
  <c r="CE14" i="4"/>
  <c r="CD14" i="4"/>
  <c r="CB14" i="4"/>
  <c r="CA14" i="4"/>
  <c r="BZ14" i="4"/>
  <c r="BY14" i="4"/>
  <c r="BX14" i="4"/>
  <c r="BW14" i="4"/>
  <c r="BV14" i="4"/>
  <c r="BT14" i="4"/>
  <c r="BS14" i="4"/>
  <c r="BR14" i="4"/>
  <c r="BQ14" i="4"/>
  <c r="BP14" i="4"/>
  <c r="BO14" i="4"/>
  <c r="BN14" i="4"/>
  <c r="BL14" i="4"/>
  <c r="BK14" i="4"/>
  <c r="BJ14" i="4"/>
  <c r="BI14" i="4"/>
  <c r="BH14" i="4"/>
  <c r="BG14" i="4"/>
  <c r="BF14" i="4"/>
  <c r="BD14" i="4"/>
  <c r="BC14" i="4"/>
  <c r="BB14" i="4"/>
  <c r="BA14" i="4"/>
  <c r="AZ14" i="4"/>
  <c r="AY14" i="4"/>
  <c r="AX14" i="4"/>
  <c r="AV14" i="4"/>
  <c r="AU14" i="4"/>
  <c r="AT14" i="4"/>
  <c r="AS14" i="4"/>
  <c r="AR14" i="4"/>
  <c r="AQ14" i="4"/>
  <c r="AP14" i="4"/>
  <c r="AN14" i="4"/>
  <c r="AM14" i="4"/>
  <c r="AL14" i="4"/>
  <c r="AK14" i="4"/>
  <c r="AJ14" i="4"/>
  <c r="AI14" i="4"/>
  <c r="AH14" i="4"/>
  <c r="AF14" i="4"/>
  <c r="AE14" i="4"/>
  <c r="AD14" i="4"/>
  <c r="AC14" i="4"/>
  <c r="AB14" i="4"/>
  <c r="AA14" i="4"/>
  <c r="Z14" i="4"/>
  <c r="X14" i="4"/>
  <c r="W14" i="4"/>
  <c r="V14" i="4"/>
  <c r="U14" i="4"/>
  <c r="T14" i="4"/>
  <c r="S14" i="4"/>
  <c r="R14" i="4"/>
  <c r="P14" i="4"/>
  <c r="O14" i="4"/>
  <c r="N14" i="4"/>
  <c r="M14" i="4"/>
  <c r="L14" i="4"/>
  <c r="J14" i="4"/>
  <c r="H14" i="4"/>
  <c r="G14" i="4"/>
  <c r="E14" i="4"/>
  <c r="D14" i="4"/>
  <c r="CY13" i="4"/>
  <c r="CV13" i="4"/>
  <c r="CU13" i="4"/>
  <c r="CT13" i="4"/>
  <c r="CS13" i="4"/>
  <c r="CO13" i="4"/>
  <c r="CN13" i="4"/>
  <c r="CM13" i="4"/>
  <c r="CL13" i="4"/>
  <c r="CK13" i="4"/>
  <c r="CJ13" i="4"/>
  <c r="CI13" i="4"/>
  <c r="CH13" i="4"/>
  <c r="CG13" i="4"/>
  <c r="CF13" i="4"/>
  <c r="CE13" i="4"/>
  <c r="CD13" i="4"/>
  <c r="CC13" i="4"/>
  <c r="CB13" i="4"/>
  <c r="CA13" i="4"/>
  <c r="BZ13" i="4"/>
  <c r="BY13" i="4"/>
  <c r="BX13" i="4"/>
  <c r="BW13" i="4"/>
  <c r="BV13" i="4"/>
  <c r="BU13" i="4"/>
  <c r="BT13" i="4"/>
  <c r="BS13" i="4"/>
  <c r="BR13" i="4"/>
  <c r="BQ13" i="4"/>
  <c r="BP13" i="4"/>
  <c r="BO13" i="4"/>
  <c r="BN13" i="4"/>
  <c r="BM13" i="4"/>
  <c r="BL13" i="4"/>
  <c r="BK13" i="4"/>
  <c r="BJ13" i="4"/>
  <c r="BI13" i="4"/>
  <c r="BH13" i="4"/>
  <c r="BG13" i="4"/>
  <c r="BF13" i="4"/>
  <c r="BE13" i="4"/>
  <c r="BD13" i="4"/>
  <c r="BC13" i="4"/>
  <c r="BB13" i="4"/>
  <c r="BA13" i="4"/>
  <c r="AZ13" i="4"/>
  <c r="AY13" i="4"/>
  <c r="AX13" i="4"/>
  <c r="AW13" i="4"/>
  <c r="AV13" i="4"/>
  <c r="AU13" i="4"/>
  <c r="AT13" i="4"/>
  <c r="AS13" i="4"/>
  <c r="AR13" i="4"/>
  <c r="AQ13" i="4"/>
  <c r="AP13" i="4"/>
  <c r="AN13" i="4"/>
  <c r="AM13" i="4"/>
  <c r="AL13" i="4"/>
  <c r="AK13" i="4"/>
  <c r="AJ13" i="4"/>
  <c r="AI13" i="4"/>
  <c r="AH13" i="4"/>
  <c r="AF13" i="4"/>
  <c r="AE13" i="4"/>
  <c r="AD13" i="4"/>
  <c r="AC13" i="4"/>
  <c r="AB13" i="4"/>
  <c r="AA13" i="4"/>
  <c r="Z13" i="4"/>
  <c r="X13" i="4"/>
  <c r="W13" i="4"/>
  <c r="V13" i="4"/>
  <c r="U13" i="4"/>
  <c r="T13" i="4"/>
  <c r="S13" i="4"/>
  <c r="R13" i="4"/>
  <c r="P13" i="4"/>
  <c r="O13" i="4"/>
  <c r="N13" i="4"/>
  <c r="M13" i="4"/>
  <c r="L13" i="4"/>
  <c r="K13" i="4"/>
  <c r="J13" i="4"/>
  <c r="H13" i="4"/>
  <c r="G13" i="4"/>
  <c r="F13" i="4"/>
  <c r="E13" i="4"/>
  <c r="D13" i="4"/>
  <c r="CY12" i="4"/>
  <c r="CV12" i="4"/>
  <c r="CU12" i="4"/>
  <c r="CT12" i="4"/>
  <c r="CS12" i="4"/>
  <c r="CO12" i="4"/>
  <c r="CN12" i="4"/>
  <c r="CM12" i="4"/>
  <c r="CL12" i="4"/>
  <c r="CK12" i="4"/>
  <c r="CJ12" i="4"/>
  <c r="CI12" i="4"/>
  <c r="CH12" i="4"/>
  <c r="CG12" i="4"/>
  <c r="CF12" i="4"/>
  <c r="CE12" i="4"/>
  <c r="CD12" i="4"/>
  <c r="CC12" i="4"/>
  <c r="CB12" i="4"/>
  <c r="CA12" i="4"/>
  <c r="BZ12" i="4"/>
  <c r="BY12" i="4"/>
  <c r="BX12" i="4"/>
  <c r="BW12" i="4"/>
  <c r="BV12" i="4"/>
  <c r="BU12" i="4"/>
  <c r="BT12" i="4"/>
  <c r="BS12" i="4"/>
  <c r="BR12" i="4"/>
  <c r="BQ12" i="4"/>
  <c r="BP12" i="4"/>
  <c r="BO12" i="4"/>
  <c r="BN12" i="4"/>
  <c r="BM12" i="4"/>
  <c r="BL12" i="4"/>
  <c r="BK12" i="4"/>
  <c r="BJ12" i="4"/>
  <c r="BI12" i="4"/>
  <c r="BH12" i="4"/>
  <c r="BG12" i="4"/>
  <c r="BF12" i="4"/>
  <c r="BE12" i="4"/>
  <c r="BD12" i="4"/>
  <c r="BC12" i="4"/>
  <c r="BB12" i="4"/>
  <c r="BA12" i="4"/>
  <c r="AZ12" i="4"/>
  <c r="AY12" i="4"/>
  <c r="AX12" i="4"/>
  <c r="AW12" i="4"/>
  <c r="AV12" i="4"/>
  <c r="AU12" i="4"/>
  <c r="AT12" i="4"/>
  <c r="AS12" i="4"/>
  <c r="AR12" i="4"/>
  <c r="AQ12" i="4"/>
  <c r="AP12" i="4"/>
  <c r="AO12" i="4"/>
  <c r="AN12" i="4"/>
  <c r="AM12" i="4"/>
  <c r="AL12" i="4"/>
  <c r="AK12" i="4"/>
  <c r="AJ12" i="4"/>
  <c r="AI12" i="4"/>
  <c r="AH12" i="4"/>
  <c r="AG12" i="4"/>
  <c r="AF12" i="4"/>
  <c r="AE12" i="4"/>
  <c r="AD12" i="4"/>
  <c r="AC12" i="4"/>
  <c r="AB12" i="4"/>
  <c r="AA12" i="4"/>
  <c r="Z12" i="4"/>
  <c r="Y12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Y11" i="4"/>
  <c r="CV11" i="4"/>
  <c r="CU11" i="4"/>
  <c r="CT11" i="4"/>
  <c r="CS11" i="4"/>
  <c r="CO11" i="4"/>
  <c r="CN11" i="4"/>
  <c r="CM11" i="4"/>
  <c r="CL11" i="4"/>
  <c r="CK11" i="4"/>
  <c r="CJ11" i="4"/>
  <c r="CI11" i="4"/>
  <c r="CH11" i="4"/>
  <c r="CG11" i="4"/>
  <c r="CF11" i="4"/>
  <c r="CE11" i="4"/>
  <c r="CD11" i="4"/>
  <c r="CC11" i="4"/>
  <c r="CB11" i="4"/>
  <c r="CA11" i="4"/>
  <c r="BZ11" i="4"/>
  <c r="BY11" i="4"/>
  <c r="BX11" i="4"/>
  <c r="BW11" i="4"/>
  <c r="BV11" i="4"/>
  <c r="BU11" i="4"/>
  <c r="BT11" i="4"/>
  <c r="BS11" i="4"/>
  <c r="BR11" i="4"/>
  <c r="BQ11" i="4"/>
  <c r="BP11" i="4"/>
  <c r="BO11" i="4"/>
  <c r="BN11" i="4"/>
  <c r="BM11" i="4"/>
  <c r="BL11" i="4"/>
  <c r="BK11" i="4"/>
  <c r="BJ11" i="4"/>
  <c r="BI11" i="4"/>
  <c r="BH11" i="4"/>
  <c r="BG11" i="4"/>
  <c r="BF11" i="4"/>
  <c r="BE11" i="4"/>
  <c r="BD11" i="4"/>
  <c r="BC11" i="4"/>
  <c r="BB11" i="4"/>
  <c r="BA11" i="4"/>
  <c r="AZ11" i="4"/>
  <c r="AY11" i="4"/>
  <c r="AX11" i="4"/>
  <c r="AW11" i="4"/>
  <c r="AV11" i="4"/>
  <c r="AU11" i="4"/>
  <c r="AT11" i="4"/>
  <c r="AS11" i="4"/>
  <c r="AR11" i="4"/>
  <c r="AQ11" i="4"/>
  <c r="AP11" i="4"/>
  <c r="AO11" i="4"/>
  <c r="AN11" i="4"/>
  <c r="AM11" i="4"/>
  <c r="AL11" i="4"/>
  <c r="AK11" i="4"/>
  <c r="AJ11" i="4"/>
  <c r="AI11" i="4"/>
  <c r="AH11" i="4"/>
  <c r="AG11" i="4"/>
  <c r="AF11" i="4"/>
  <c r="AE11" i="4"/>
  <c r="AD11" i="4"/>
  <c r="AC11" i="4"/>
  <c r="AB11" i="4"/>
  <c r="AA11" i="4"/>
  <c r="Z11" i="4"/>
  <c r="X11" i="4"/>
  <c r="W11" i="4"/>
  <c r="V11" i="4"/>
  <c r="U11" i="4"/>
  <c r="T11" i="4"/>
  <c r="S11" i="4"/>
  <c r="R11" i="4"/>
  <c r="P11" i="4"/>
  <c r="O11" i="4"/>
  <c r="N11" i="4"/>
  <c r="M11" i="4"/>
  <c r="L11" i="4"/>
  <c r="K11" i="4"/>
  <c r="J11" i="4"/>
  <c r="H11" i="4"/>
  <c r="G11" i="4"/>
  <c r="F11" i="4"/>
  <c r="E11" i="4"/>
  <c r="D11" i="4"/>
  <c r="CY10" i="4"/>
  <c r="CV10" i="4"/>
  <c r="CU10" i="4"/>
  <c r="CT10" i="4"/>
  <c r="CS10" i="4"/>
  <c r="CO10" i="4"/>
  <c r="CN10" i="4"/>
  <c r="CM10" i="4"/>
  <c r="CL10" i="4"/>
  <c r="CK10" i="4"/>
  <c r="CJ10" i="4"/>
  <c r="CI10" i="4"/>
  <c r="CH10" i="4"/>
  <c r="CG10" i="4"/>
  <c r="CF10" i="4"/>
  <c r="CE10" i="4"/>
  <c r="CD10" i="4"/>
  <c r="CC10" i="4"/>
  <c r="CB10" i="4"/>
  <c r="CA10" i="4"/>
  <c r="BZ10" i="4"/>
  <c r="BY10" i="4"/>
  <c r="BX10" i="4"/>
  <c r="BW10" i="4"/>
  <c r="BV10" i="4"/>
  <c r="BU10" i="4"/>
  <c r="BT10" i="4"/>
  <c r="BS10" i="4"/>
  <c r="BR10" i="4"/>
  <c r="BQ10" i="4"/>
  <c r="BP10" i="4"/>
  <c r="BO10" i="4"/>
  <c r="BN10" i="4"/>
  <c r="BM10" i="4"/>
  <c r="BL10" i="4"/>
  <c r="BK10" i="4"/>
  <c r="BJ10" i="4"/>
  <c r="BI10" i="4"/>
  <c r="BH10" i="4"/>
  <c r="BG10" i="4"/>
  <c r="BF10" i="4"/>
  <c r="BE10" i="4"/>
  <c r="BD10" i="4"/>
  <c r="BC10" i="4"/>
  <c r="BB10" i="4"/>
  <c r="BA10" i="4"/>
  <c r="AZ10" i="4"/>
  <c r="AY10" i="4"/>
  <c r="AX10" i="4"/>
  <c r="AW10" i="4"/>
  <c r="AV10" i="4"/>
  <c r="AU10" i="4"/>
  <c r="AT10" i="4"/>
  <c r="AS10" i="4"/>
  <c r="AR10" i="4"/>
  <c r="AQ10" i="4"/>
  <c r="AP10" i="4"/>
  <c r="AO10" i="4"/>
  <c r="AN10" i="4"/>
  <c r="AM10" i="4"/>
  <c r="AL10" i="4"/>
  <c r="AK10" i="4"/>
  <c r="AJ10" i="4"/>
  <c r="AI10" i="4"/>
  <c r="AH10" i="4"/>
  <c r="AG10" i="4"/>
  <c r="AF10" i="4"/>
  <c r="AE10" i="4"/>
  <c r="AD10" i="4"/>
  <c r="AC10" i="4"/>
  <c r="AB10" i="4"/>
  <c r="AA10" i="4"/>
  <c r="Z10" i="4"/>
  <c r="X10" i="4"/>
  <c r="W10" i="4"/>
  <c r="V10" i="4"/>
  <c r="U10" i="4"/>
  <c r="T10" i="4"/>
  <c r="S10" i="4"/>
  <c r="R10" i="4"/>
  <c r="P10" i="4"/>
  <c r="O10" i="4"/>
  <c r="N10" i="4"/>
  <c r="M10" i="4"/>
  <c r="L10" i="4"/>
  <c r="K10" i="4"/>
  <c r="J10" i="4"/>
  <c r="H10" i="4"/>
  <c r="G10" i="4"/>
  <c r="F10" i="4"/>
  <c r="E10" i="4"/>
  <c r="D10" i="4"/>
  <c r="CY9" i="4"/>
  <c r="CV9" i="4"/>
  <c r="CU9" i="4"/>
  <c r="CT9" i="4"/>
  <c r="CS9" i="4"/>
  <c r="CO9" i="4"/>
  <c r="CN9" i="4"/>
  <c r="CM9" i="4"/>
  <c r="CL9" i="4"/>
  <c r="CK9" i="4"/>
  <c r="CJ9" i="4"/>
  <c r="CI9" i="4"/>
  <c r="CH9" i="4"/>
  <c r="CG9" i="4"/>
  <c r="CF9" i="4"/>
  <c r="CE9" i="4"/>
  <c r="CD9" i="4"/>
  <c r="CC9" i="4"/>
  <c r="CB9" i="4"/>
  <c r="CA9" i="4"/>
  <c r="BZ9" i="4"/>
  <c r="BY9" i="4"/>
  <c r="BX9" i="4"/>
  <c r="BW9" i="4"/>
  <c r="BV9" i="4"/>
  <c r="BU9" i="4"/>
  <c r="BT9" i="4"/>
  <c r="BS9" i="4"/>
  <c r="BR9" i="4"/>
  <c r="BQ9" i="4"/>
  <c r="BP9" i="4"/>
  <c r="BO9" i="4"/>
  <c r="BN9" i="4"/>
  <c r="BM9" i="4"/>
  <c r="BL9" i="4"/>
  <c r="BK9" i="4"/>
  <c r="BJ9" i="4"/>
  <c r="BI9" i="4"/>
  <c r="BH9" i="4"/>
  <c r="BG9" i="4"/>
  <c r="BF9" i="4"/>
  <c r="BE9" i="4"/>
  <c r="BD9" i="4"/>
  <c r="BC9" i="4"/>
  <c r="BB9" i="4"/>
  <c r="BA9" i="4"/>
  <c r="AZ9" i="4"/>
  <c r="AY9" i="4"/>
  <c r="AX9" i="4"/>
  <c r="AW9" i="4"/>
  <c r="AV9" i="4"/>
  <c r="AU9" i="4"/>
  <c r="AT9" i="4"/>
  <c r="AS9" i="4"/>
  <c r="AR9" i="4"/>
  <c r="AQ9" i="4"/>
  <c r="AP9" i="4"/>
  <c r="AO9" i="4"/>
  <c r="AN9" i="4"/>
  <c r="AM9" i="4"/>
  <c r="AL9" i="4"/>
  <c r="AK9" i="4"/>
  <c r="AJ9" i="4"/>
  <c r="AI9" i="4"/>
  <c r="AH9" i="4"/>
  <c r="AG9" i="4"/>
  <c r="AF9" i="4"/>
  <c r="AE9" i="4"/>
  <c r="AD9" i="4"/>
  <c r="AC9" i="4"/>
  <c r="AB9" i="4"/>
  <c r="AA9" i="4"/>
  <c r="Z9" i="4"/>
  <c r="Y9" i="4"/>
  <c r="X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Y8" i="4"/>
  <c r="CV8" i="4"/>
  <c r="CU8" i="4"/>
  <c r="CT8" i="4"/>
  <c r="CS8" i="4"/>
  <c r="CO8" i="4"/>
  <c r="CN8" i="4"/>
  <c r="CM8" i="4"/>
  <c r="CL8" i="4"/>
  <c r="CK8" i="4"/>
  <c r="CJ8" i="4"/>
  <c r="CI8" i="4"/>
  <c r="CH8" i="4"/>
  <c r="CG8" i="4"/>
  <c r="CF8" i="4"/>
  <c r="CE8" i="4"/>
  <c r="CD8" i="4"/>
  <c r="CC8" i="4"/>
  <c r="CB8" i="4"/>
  <c r="CA8" i="4"/>
  <c r="BZ8" i="4"/>
  <c r="BY8" i="4"/>
  <c r="BX8" i="4"/>
  <c r="BW8" i="4"/>
  <c r="BV8" i="4"/>
  <c r="BU8" i="4"/>
  <c r="BT8" i="4"/>
  <c r="BS8" i="4"/>
  <c r="BR8" i="4"/>
  <c r="BQ8" i="4"/>
  <c r="BP8" i="4"/>
  <c r="BO8" i="4"/>
  <c r="BN8" i="4"/>
  <c r="BM8" i="4"/>
  <c r="BL8" i="4"/>
  <c r="BK8" i="4"/>
  <c r="BJ8" i="4"/>
  <c r="BI8" i="4"/>
  <c r="BH8" i="4"/>
  <c r="BG8" i="4"/>
  <c r="BF8" i="4"/>
  <c r="BE8" i="4"/>
  <c r="BD8" i="4"/>
  <c r="BC8" i="4"/>
  <c r="BB8" i="4"/>
  <c r="BA8" i="4"/>
  <c r="AZ8" i="4"/>
  <c r="AY8" i="4"/>
  <c r="AX8" i="4"/>
  <c r="AW8" i="4"/>
  <c r="AV8" i="4"/>
  <c r="AU8" i="4"/>
  <c r="AT8" i="4"/>
  <c r="AS8" i="4"/>
  <c r="AR8" i="4"/>
  <c r="AQ8" i="4"/>
  <c r="AP8" i="4"/>
  <c r="AO8" i="4"/>
  <c r="AN8" i="4"/>
  <c r="AM8" i="4"/>
  <c r="AL8" i="4"/>
  <c r="AK8" i="4"/>
  <c r="AJ8" i="4"/>
  <c r="AI8" i="4"/>
  <c r="AH8" i="4"/>
  <c r="AG8" i="4"/>
  <c r="AF8" i="4"/>
  <c r="AE8" i="4"/>
  <c r="AD8" i="4"/>
  <c r="AC8" i="4"/>
  <c r="AB8" i="4"/>
  <c r="AA8" i="4"/>
  <c r="Z8" i="4"/>
  <c r="Y8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Y7" i="4"/>
  <c r="CV7" i="4"/>
  <c r="CU7" i="4"/>
  <c r="CT7" i="4"/>
  <c r="CS7" i="4"/>
  <c r="CO7" i="4"/>
  <c r="CN7" i="4"/>
  <c r="CM7" i="4"/>
  <c r="CL7" i="4"/>
  <c r="CK7" i="4"/>
  <c r="CJ7" i="4"/>
  <c r="CI7" i="4"/>
  <c r="CH7" i="4"/>
  <c r="CG7" i="4"/>
  <c r="CF7" i="4"/>
  <c r="CE7" i="4"/>
  <c r="CD7" i="4"/>
  <c r="CC7" i="4"/>
  <c r="CB7" i="4"/>
  <c r="CA7" i="4"/>
  <c r="BZ7" i="4"/>
  <c r="BY7" i="4"/>
  <c r="BX7" i="4"/>
  <c r="BW7" i="4"/>
  <c r="BV7" i="4"/>
  <c r="BU7" i="4"/>
  <c r="BT7" i="4"/>
  <c r="BS7" i="4"/>
  <c r="BR7" i="4"/>
  <c r="BQ7" i="4"/>
  <c r="BP7" i="4"/>
  <c r="BO7" i="4"/>
  <c r="BN7" i="4"/>
  <c r="BM7" i="4"/>
  <c r="BL7" i="4"/>
  <c r="BK7" i="4"/>
  <c r="BJ7" i="4"/>
  <c r="BI7" i="4"/>
  <c r="BH7" i="4"/>
  <c r="BG7" i="4"/>
  <c r="BF7" i="4"/>
  <c r="BE7" i="4"/>
  <c r="BD7" i="4"/>
  <c r="BC7" i="4"/>
  <c r="BB7" i="4"/>
  <c r="BA7" i="4"/>
  <c r="AZ7" i="4"/>
  <c r="AY7" i="4"/>
  <c r="AX7" i="4"/>
  <c r="AW7" i="4"/>
  <c r="AV7" i="4"/>
  <c r="AU7" i="4"/>
  <c r="AT7" i="4"/>
  <c r="AS7" i="4"/>
  <c r="AR7" i="4"/>
  <c r="AQ7" i="4"/>
  <c r="AP7" i="4"/>
  <c r="AO7" i="4"/>
  <c r="AN7" i="4"/>
  <c r="AM7" i="4"/>
  <c r="AL7" i="4"/>
  <c r="AK7" i="4"/>
  <c r="AJ7" i="4"/>
  <c r="AI7" i="4"/>
  <c r="AH7" i="4"/>
  <c r="AG7" i="4"/>
  <c r="AF7" i="4"/>
  <c r="AE7" i="4"/>
  <c r="AD7" i="4"/>
  <c r="AC7" i="4"/>
  <c r="AB7" i="4"/>
  <c r="AA7" i="4"/>
  <c r="Z7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Y6" i="4"/>
  <c r="CV6" i="4"/>
  <c r="CU6" i="4"/>
  <c r="CT6" i="4"/>
  <c r="CS6" i="4"/>
  <c r="CO6" i="4"/>
  <c r="CN6" i="4"/>
  <c r="CM6" i="4"/>
  <c r="CL6" i="4"/>
  <c r="CK6" i="4"/>
  <c r="CJ6" i="4"/>
  <c r="CI6" i="4"/>
  <c r="CH6" i="4"/>
  <c r="CG6" i="4"/>
  <c r="CF6" i="4"/>
  <c r="CE6" i="4"/>
  <c r="CD6" i="4"/>
  <c r="CC6" i="4"/>
  <c r="CB6" i="4"/>
  <c r="CA6" i="4"/>
  <c r="BZ6" i="4"/>
  <c r="BY6" i="4"/>
  <c r="BX6" i="4"/>
  <c r="BW6" i="4"/>
  <c r="BV6" i="4"/>
  <c r="BU6" i="4"/>
  <c r="BT6" i="4"/>
  <c r="BS6" i="4"/>
  <c r="BR6" i="4"/>
  <c r="BQ6" i="4"/>
  <c r="BP6" i="4"/>
  <c r="BO6" i="4"/>
  <c r="BN6" i="4"/>
  <c r="BM6" i="4"/>
  <c r="BL6" i="4"/>
  <c r="BK6" i="4"/>
  <c r="BJ6" i="4"/>
  <c r="BI6" i="4"/>
  <c r="BH6" i="4"/>
  <c r="BG6" i="4"/>
  <c r="BF6" i="4"/>
  <c r="BE6" i="4"/>
  <c r="BD6" i="4"/>
  <c r="BC6" i="4"/>
  <c r="BB6" i="4"/>
  <c r="BA6" i="4"/>
  <c r="AZ6" i="4"/>
  <c r="AY6" i="4"/>
  <c r="AX6" i="4"/>
  <c r="AW6" i="4"/>
  <c r="AV6" i="4"/>
  <c r="AU6" i="4"/>
  <c r="AT6" i="4"/>
  <c r="AS6" i="4"/>
  <c r="AR6" i="4"/>
  <c r="AQ6" i="4"/>
  <c r="AP6" i="4"/>
  <c r="AO6" i="4"/>
  <c r="AN6" i="4"/>
  <c r="AM6" i="4"/>
  <c r="AL6" i="4"/>
  <c r="AK6" i="4"/>
  <c r="AJ6" i="4"/>
  <c r="AI6" i="4"/>
  <c r="AH6" i="4"/>
  <c r="AG6" i="4"/>
  <c r="AF6" i="4"/>
  <c r="AE6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Y5" i="4"/>
  <c r="CV5" i="4"/>
  <c r="CU5" i="4"/>
  <c r="CT5" i="4"/>
  <c r="CS5" i="4"/>
  <c r="CO5" i="4"/>
  <c r="CN5" i="4"/>
  <c r="CM5" i="4"/>
  <c r="CL5" i="4"/>
  <c r="CK5" i="4"/>
  <c r="CJ5" i="4"/>
  <c r="CI5" i="4"/>
  <c r="CH5" i="4"/>
  <c r="CG5" i="4"/>
  <c r="CF5" i="4"/>
  <c r="CE5" i="4"/>
  <c r="CD5" i="4"/>
  <c r="CC5" i="4"/>
  <c r="CB5" i="4"/>
  <c r="CA5" i="4"/>
  <c r="BZ5" i="4"/>
  <c r="BY5" i="4"/>
  <c r="BX5" i="4"/>
  <c r="BW5" i="4"/>
  <c r="BV5" i="4"/>
  <c r="BU5" i="4"/>
  <c r="BT5" i="4"/>
  <c r="BS5" i="4"/>
  <c r="BR5" i="4"/>
  <c r="BQ5" i="4"/>
  <c r="BP5" i="4"/>
  <c r="BO5" i="4"/>
  <c r="BN5" i="4"/>
  <c r="BM5" i="4"/>
  <c r="BL5" i="4"/>
  <c r="BK5" i="4"/>
  <c r="BJ5" i="4"/>
  <c r="BI5" i="4"/>
  <c r="BH5" i="4"/>
  <c r="BG5" i="4"/>
  <c r="BF5" i="4"/>
  <c r="BE5" i="4"/>
  <c r="BD5" i="4"/>
  <c r="BC5" i="4"/>
  <c r="BB5" i="4"/>
  <c r="BA5" i="4"/>
  <c r="AZ5" i="4"/>
  <c r="AY5" i="4"/>
  <c r="AX5" i="4"/>
  <c r="AW5" i="4"/>
  <c r="AV5" i="4"/>
  <c r="AU5" i="4"/>
  <c r="AT5" i="4"/>
  <c r="AS5" i="4"/>
  <c r="AR5" i="4"/>
  <c r="AQ5" i="4"/>
  <c r="AP5" i="4"/>
  <c r="AO5" i="4"/>
  <c r="AN5" i="4"/>
  <c r="AM5" i="4"/>
  <c r="AL5" i="4"/>
  <c r="AK5" i="4"/>
  <c r="AJ5" i="4"/>
  <c r="AI5" i="4"/>
  <c r="AH5" i="4"/>
  <c r="AG5" i="4"/>
  <c r="AF5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Y4" i="4"/>
  <c r="CV4" i="4"/>
  <c r="CU4" i="4"/>
  <c r="CT4" i="4"/>
  <c r="CS4" i="4"/>
  <c r="CO4" i="4"/>
  <c r="CN4" i="4"/>
  <c r="CM4" i="4"/>
  <c r="CL4" i="4"/>
  <c r="CK4" i="4"/>
  <c r="CJ4" i="4"/>
  <c r="CI4" i="4"/>
  <c r="CH4" i="4"/>
  <c r="CG4" i="4"/>
  <c r="CF4" i="4"/>
  <c r="CE4" i="4"/>
  <c r="CD4" i="4"/>
  <c r="CC4" i="4"/>
  <c r="CB4" i="4"/>
  <c r="CA4" i="4"/>
  <c r="BZ4" i="4"/>
  <c r="BY4" i="4"/>
  <c r="BX4" i="4"/>
  <c r="BW4" i="4"/>
  <c r="BV4" i="4"/>
  <c r="BU4" i="4"/>
  <c r="BT4" i="4"/>
  <c r="BS4" i="4"/>
  <c r="BR4" i="4"/>
  <c r="BQ4" i="4"/>
  <c r="BP4" i="4"/>
  <c r="BO4" i="4"/>
  <c r="BN4" i="4"/>
  <c r="BM4" i="4"/>
  <c r="BL4" i="4"/>
  <c r="BK4" i="4"/>
  <c r="BJ4" i="4"/>
  <c r="BI4" i="4"/>
  <c r="BH4" i="4"/>
  <c r="BG4" i="4"/>
  <c r="BF4" i="4"/>
  <c r="BE4" i="4"/>
  <c r="BD4" i="4"/>
  <c r="BC4" i="4"/>
  <c r="BB4" i="4"/>
  <c r="BA4" i="4"/>
  <c r="AZ4" i="4"/>
  <c r="AY4" i="4"/>
  <c r="AX4" i="4"/>
  <c r="AW4" i="4"/>
  <c r="AV4" i="4"/>
  <c r="AU4" i="4"/>
  <c r="AT4" i="4"/>
  <c r="AS4" i="4"/>
  <c r="AR4" i="4"/>
  <c r="AQ4" i="4"/>
  <c r="AP4" i="4"/>
  <c r="AO4" i="4"/>
  <c r="AN4" i="4"/>
  <c r="AM4" i="4"/>
  <c r="AL4" i="4"/>
  <c r="AK4" i="4"/>
  <c r="AJ4" i="4"/>
  <c r="AI4" i="4"/>
  <c r="AH4" i="4"/>
  <c r="AG4" i="4"/>
  <c r="AF4" i="4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Y3" i="4"/>
  <c r="CV3" i="4"/>
  <c r="CU3" i="4"/>
  <c r="CT3" i="4"/>
  <c r="CS3" i="4"/>
  <c r="CO3" i="4"/>
  <c r="CN3" i="4"/>
  <c r="CM3" i="4"/>
  <c r="CL3" i="4"/>
  <c r="CK3" i="4"/>
  <c r="CJ3" i="4"/>
  <c r="CI3" i="4"/>
  <c r="CH3" i="4"/>
  <c r="CG3" i="4"/>
  <c r="CF3" i="4"/>
  <c r="CE3" i="4"/>
  <c r="CD3" i="4"/>
  <c r="CC3" i="4"/>
  <c r="CB3" i="4"/>
  <c r="CA3" i="4"/>
  <c r="BZ3" i="4"/>
  <c r="BY3" i="4"/>
  <c r="BX3" i="4"/>
  <c r="BW3" i="4"/>
  <c r="BV3" i="4"/>
  <c r="BU3" i="4"/>
  <c r="BT3" i="4"/>
  <c r="BS3" i="4"/>
  <c r="BR3" i="4"/>
  <c r="BQ3" i="4"/>
  <c r="BP3" i="4"/>
  <c r="BO3" i="4"/>
  <c r="BN3" i="4"/>
  <c r="BM3" i="4"/>
  <c r="BL3" i="4"/>
  <c r="BK3" i="4"/>
  <c r="BJ3" i="4"/>
  <c r="BI3" i="4"/>
  <c r="BH3" i="4"/>
  <c r="BG3" i="4"/>
  <c r="BF3" i="4"/>
  <c r="BE3" i="4"/>
  <c r="BD3" i="4"/>
  <c r="BC3" i="4"/>
  <c r="BB3" i="4"/>
  <c r="BA3" i="4"/>
  <c r="AZ3" i="4"/>
  <c r="AY3" i="4"/>
  <c r="AX3" i="4"/>
  <c r="AW3" i="4"/>
  <c r="AV3" i="4"/>
  <c r="AU3" i="4"/>
  <c r="AT3" i="4"/>
  <c r="AS3" i="4"/>
  <c r="AR3" i="4"/>
  <c r="AQ3" i="4"/>
  <c r="AP3" i="4"/>
  <c r="AO3" i="4"/>
  <c r="AN3" i="4"/>
  <c r="AM3" i="4"/>
  <c r="AL3" i="4"/>
  <c r="AK3" i="4"/>
  <c r="AJ3" i="4"/>
  <c r="AI3" i="4"/>
  <c r="AH3" i="4"/>
  <c r="AG3" i="4"/>
  <c r="AF3" i="4"/>
  <c r="AE3" i="4"/>
  <c r="AD3" i="4"/>
  <c r="AC3" i="4"/>
  <c r="AB3" i="4"/>
  <c r="AA3" i="4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V98" i="3"/>
  <c r="X98" i="3"/>
  <c r="Y98" i="3" s="1"/>
  <c r="Z96" i="3"/>
  <c r="AA96" i="3" s="1"/>
  <c r="Z95" i="3"/>
  <c r="AA95" i="3" s="1"/>
  <c r="X93" i="3"/>
  <c r="Y93" i="3" s="1"/>
  <c r="Z91" i="3"/>
  <c r="AA91" i="3" s="1"/>
  <c r="V91" i="3"/>
  <c r="R90" i="3"/>
  <c r="Z89" i="3"/>
  <c r="AA89" i="3" s="1"/>
  <c r="X89" i="3"/>
  <c r="Y89" i="3" s="1"/>
  <c r="V88" i="3"/>
  <c r="R87" i="3"/>
  <c r="Z85" i="3"/>
  <c r="AA85" i="3" s="1"/>
  <c r="V85" i="3"/>
  <c r="X85" i="3"/>
  <c r="Y85" i="3" s="1"/>
  <c r="V83" i="3"/>
  <c r="O82" i="3"/>
  <c r="V81" i="3"/>
  <c r="Z80" i="3"/>
  <c r="AA80" i="3" s="1"/>
  <c r="X80" i="3"/>
  <c r="Y80" i="3" s="1"/>
  <c r="V78" i="3"/>
  <c r="V77" i="3"/>
  <c r="X77" i="3"/>
  <c r="Y77" i="3" s="1"/>
  <c r="J76" i="3"/>
  <c r="Z75" i="3"/>
  <c r="AA75" i="3" s="1"/>
  <c r="V75" i="3"/>
  <c r="X74" i="3"/>
  <c r="Y74" i="3" s="1"/>
  <c r="Z73" i="3"/>
  <c r="AA73" i="3" s="1"/>
  <c r="Z72" i="3"/>
  <c r="AA72" i="3" s="1"/>
  <c r="J71" i="3"/>
  <c r="J70" i="3"/>
  <c r="J69" i="3"/>
  <c r="P68" i="3"/>
  <c r="J68" i="3"/>
  <c r="J67" i="3"/>
  <c r="X66" i="3"/>
  <c r="Y66" i="3" s="1"/>
  <c r="V66" i="3"/>
  <c r="Z65" i="3"/>
  <c r="AA65" i="3" s="1"/>
  <c r="V65" i="3"/>
  <c r="X65" i="3"/>
  <c r="Y65" i="3" s="1"/>
  <c r="Z64" i="3"/>
  <c r="AA64" i="3" s="1"/>
  <c r="X64" i="3"/>
  <c r="Y64" i="3" s="1"/>
  <c r="V64" i="3"/>
  <c r="R63" i="3"/>
  <c r="R62" i="3"/>
  <c r="V61" i="3"/>
  <c r="X61" i="3"/>
  <c r="Y61" i="3" s="1"/>
  <c r="J60" i="3"/>
  <c r="J59" i="3"/>
  <c r="Z58" i="3"/>
  <c r="AA58" i="3" s="1"/>
  <c r="V57" i="3"/>
  <c r="Z57" i="3"/>
  <c r="AA57" i="3" s="1"/>
  <c r="X56" i="3"/>
  <c r="Y56" i="3" s="1"/>
  <c r="V54" i="3"/>
  <c r="Z53" i="3"/>
  <c r="AA53" i="3" s="1"/>
  <c r="X53" i="3"/>
  <c r="Y53" i="3" s="1"/>
  <c r="R52" i="3"/>
  <c r="J52" i="3"/>
  <c r="R51" i="3"/>
  <c r="J51" i="3"/>
  <c r="V50" i="3"/>
  <c r="Z49" i="3"/>
  <c r="AA49" i="3" s="1"/>
  <c r="X49" i="3"/>
  <c r="Y49" i="3" s="1"/>
  <c r="R48" i="3"/>
  <c r="Z47" i="3"/>
  <c r="AA47" i="3" s="1"/>
  <c r="V47" i="3"/>
  <c r="X46" i="3"/>
  <c r="Y46" i="3" s="1"/>
  <c r="Z45" i="3"/>
  <c r="AA45" i="3" s="1"/>
  <c r="V45" i="3"/>
  <c r="Z44" i="3"/>
  <c r="AA44" i="3" s="1"/>
  <c r="J43" i="3"/>
  <c r="J42" i="3"/>
  <c r="J41" i="3"/>
  <c r="J40" i="3"/>
  <c r="X39" i="3"/>
  <c r="Y39" i="3" s="1"/>
  <c r="Z39" i="3"/>
  <c r="AA39" i="3" s="1"/>
  <c r="Z38" i="3"/>
  <c r="AA38" i="3" s="1"/>
  <c r="X37" i="3"/>
  <c r="Y37" i="3" s="1"/>
  <c r="V35" i="3"/>
  <c r="X34" i="3"/>
  <c r="Y34" i="3" s="1"/>
  <c r="X33" i="3"/>
  <c r="Y33" i="3" s="1"/>
  <c r="V33" i="3"/>
  <c r="Z32" i="3"/>
  <c r="AA32" i="3" s="1"/>
  <c r="V32" i="3"/>
  <c r="X32" i="3"/>
  <c r="Y32" i="3" s="1"/>
  <c r="R31" i="3"/>
  <c r="R29" i="3"/>
  <c r="J29" i="3"/>
  <c r="R28" i="3"/>
  <c r="J28" i="3"/>
  <c r="R27" i="3"/>
  <c r="J27" i="3"/>
  <c r="R26" i="3"/>
  <c r="J26" i="3"/>
  <c r="V25" i="3"/>
  <c r="X24" i="3"/>
  <c r="Y24" i="3" s="1"/>
  <c r="V23" i="3"/>
  <c r="X22" i="3"/>
  <c r="Y22" i="3" s="1"/>
  <c r="V21" i="3"/>
  <c r="X21" i="3"/>
  <c r="Y21" i="3" s="1"/>
  <c r="Z20" i="3"/>
  <c r="AA20" i="3" s="1"/>
  <c r="X19" i="3"/>
  <c r="Y19" i="3" s="1"/>
  <c r="V17" i="3"/>
  <c r="X16" i="3"/>
  <c r="Y16" i="3" s="1"/>
  <c r="V15" i="3"/>
  <c r="Z14" i="3"/>
  <c r="AA14" i="3" s="1"/>
  <c r="J13" i="3"/>
  <c r="Z12" i="3"/>
  <c r="AA12" i="3" s="1"/>
  <c r="X12" i="3"/>
  <c r="Y12" i="3" s="1"/>
  <c r="Z11" i="3"/>
  <c r="AA11" i="3" s="1"/>
  <c r="X11" i="3"/>
  <c r="Y11" i="3" s="1"/>
  <c r="V6" i="3"/>
  <c r="Z5" i="3"/>
  <c r="AA5" i="3" s="1"/>
  <c r="X4" i="3"/>
  <c r="Y4" i="3" s="1"/>
  <c r="T82" i="3" l="1"/>
  <c r="CE33" i="4" s="1"/>
  <c r="U82" i="3"/>
  <c r="J108" i="3"/>
  <c r="J109" i="3"/>
  <c r="U108" i="3"/>
  <c r="X60" i="3"/>
  <c r="Y60" i="3" s="1"/>
  <c r="X27" i="3"/>
  <c r="Y27" i="3" s="1"/>
  <c r="V41" i="3"/>
  <c r="Z100" i="3"/>
  <c r="AA100" i="3" s="1"/>
  <c r="X101" i="3"/>
  <c r="Y101" i="3" s="1"/>
  <c r="X87" i="3"/>
  <c r="Y87" i="3" s="1"/>
  <c r="Z28" i="3"/>
  <c r="AA28" i="3" s="1"/>
  <c r="Z76" i="3"/>
  <c r="AA76" i="3" s="1"/>
  <c r="X13" i="3"/>
  <c r="Y13" i="3" s="1"/>
  <c r="X40" i="3"/>
  <c r="Y40" i="3" s="1"/>
  <c r="V43" i="3"/>
  <c r="Z84" i="3"/>
  <c r="AA84" i="3" s="1"/>
  <c r="V68" i="3"/>
  <c r="X63" i="3"/>
  <c r="Y63" i="3" s="1"/>
  <c r="V71" i="3"/>
  <c r="Z30" i="3"/>
  <c r="AA30" i="3" s="1"/>
  <c r="X69" i="3"/>
  <c r="Y69" i="3" s="1"/>
  <c r="Z31" i="3"/>
  <c r="AA31" i="3" s="1"/>
  <c r="X42" i="3"/>
  <c r="Y42" i="3" s="1"/>
  <c r="Z48" i="3"/>
  <c r="AA48" i="3" s="1"/>
  <c r="X52" i="3"/>
  <c r="Y52" i="3" s="1"/>
  <c r="Z59" i="3"/>
  <c r="AA59" i="3" s="1"/>
  <c r="Z16" i="3"/>
  <c r="AA16" i="3" s="1"/>
  <c r="Z19" i="3"/>
  <c r="AA19" i="3" s="1"/>
  <c r="Z21" i="3"/>
  <c r="AA21" i="3" s="1"/>
  <c r="Z23" i="3"/>
  <c r="AA23" i="3" s="1"/>
  <c r="X35" i="3"/>
  <c r="Y35" i="3" s="1"/>
  <c r="X45" i="3"/>
  <c r="Y45" i="3" s="1"/>
  <c r="X91" i="3"/>
  <c r="Y91" i="3" s="1"/>
  <c r="V39" i="3"/>
  <c r="V53" i="3"/>
  <c r="X75" i="3"/>
  <c r="Y75" i="3" s="1"/>
  <c r="Z77" i="3"/>
  <c r="AA77" i="3" s="1"/>
  <c r="V80" i="3"/>
  <c r="V89" i="3"/>
  <c r="X15" i="3"/>
  <c r="Y15" i="3" s="1"/>
  <c r="X17" i="3"/>
  <c r="Y17" i="3" s="1"/>
  <c r="V20" i="3"/>
  <c r="V22" i="3"/>
  <c r="V24" i="3"/>
  <c r="V34" i="3"/>
  <c r="V56" i="3"/>
  <c r="V58" i="3"/>
  <c r="V73" i="3"/>
  <c r="Z15" i="3"/>
  <c r="AA15" i="3" s="1"/>
  <c r="Z22" i="3"/>
  <c r="AA22" i="3" s="1"/>
  <c r="Z24" i="3"/>
  <c r="AA24" i="3" s="1"/>
  <c r="Z34" i="3"/>
  <c r="AA34" i="3" s="1"/>
  <c r="V46" i="3"/>
  <c r="Z56" i="3"/>
  <c r="AA56" i="3" s="1"/>
  <c r="X58" i="3"/>
  <c r="Y58" i="3" s="1"/>
  <c r="X73" i="3"/>
  <c r="Y73" i="3" s="1"/>
  <c r="V49" i="3"/>
  <c r="Z61" i="3"/>
  <c r="AA61" i="3" s="1"/>
  <c r="Z98" i="3"/>
  <c r="AA98" i="3" s="1"/>
  <c r="X88" i="3"/>
  <c r="Y88" i="3" s="1"/>
  <c r="V93" i="3"/>
  <c r="X96" i="3"/>
  <c r="Y96" i="3" s="1"/>
  <c r="V16" i="3"/>
  <c r="X23" i="3"/>
  <c r="Y23" i="3" s="1"/>
  <c r="X25" i="3"/>
  <c r="Y25" i="3" s="1"/>
  <c r="Z33" i="3"/>
  <c r="AA33" i="3" s="1"/>
  <c r="V38" i="3"/>
  <c r="X47" i="3"/>
  <c r="Y47" i="3" s="1"/>
  <c r="Z88" i="3"/>
  <c r="AA88" i="3" s="1"/>
  <c r="Z93" i="3"/>
  <c r="AA93" i="3" s="1"/>
  <c r="X7" i="3"/>
  <c r="Y7" i="3" s="1"/>
  <c r="X6" i="3"/>
  <c r="Y6" i="3" s="1"/>
  <c r="Z6" i="3"/>
  <c r="AA6" i="3" s="1"/>
  <c r="V4" i="3"/>
  <c r="X9" i="3"/>
  <c r="Y9" i="3" s="1"/>
  <c r="X95" i="3"/>
  <c r="Y95" i="3" s="1"/>
  <c r="V5" i="3"/>
  <c r="Z46" i="3"/>
  <c r="AA46" i="3" s="1"/>
  <c r="X54" i="3"/>
  <c r="Y54" i="3" s="1"/>
  <c r="V72" i="3"/>
  <c r="X78" i="3"/>
  <c r="Y78" i="3" s="1"/>
  <c r="X86" i="3"/>
  <c r="Y86" i="3" s="1"/>
  <c r="Z86" i="3"/>
  <c r="AA86" i="3" s="1"/>
  <c r="Z3" i="3"/>
  <c r="AA3" i="3" s="1"/>
  <c r="X3" i="3"/>
  <c r="Y3" i="3" s="1"/>
  <c r="V3" i="3"/>
  <c r="V8" i="3"/>
  <c r="X5" i="3"/>
  <c r="Y5" i="3" s="1"/>
  <c r="X8" i="3"/>
  <c r="Y8" i="3" s="1"/>
  <c r="X72" i="3"/>
  <c r="Y72" i="3" s="1"/>
  <c r="Z78" i="3"/>
  <c r="AA78" i="3" s="1"/>
  <c r="V10" i="3"/>
  <c r="V14" i="3"/>
  <c r="X20" i="3"/>
  <c r="Y20" i="3" s="1"/>
  <c r="Z35" i="3"/>
  <c r="AA35" i="3" s="1"/>
  <c r="V37" i="3"/>
  <c r="Z55" i="3"/>
  <c r="AA55" i="3" s="1"/>
  <c r="X55" i="3"/>
  <c r="Y55" i="3" s="1"/>
  <c r="V55" i="3"/>
  <c r="Z66" i="3"/>
  <c r="AA66" i="3" s="1"/>
  <c r="Z79" i="3"/>
  <c r="AA79" i="3" s="1"/>
  <c r="X79" i="3"/>
  <c r="Y79" i="3" s="1"/>
  <c r="V79" i="3"/>
  <c r="Z81" i="3"/>
  <c r="AA81" i="3" s="1"/>
  <c r="X81" i="3"/>
  <c r="Y81" i="3" s="1"/>
  <c r="Z83" i="3"/>
  <c r="AA83" i="3" s="1"/>
  <c r="X83" i="3"/>
  <c r="Y83" i="3" s="1"/>
  <c r="V86" i="3"/>
  <c r="Z92" i="3"/>
  <c r="AA92" i="3" s="1"/>
  <c r="X92" i="3"/>
  <c r="Y92" i="3" s="1"/>
  <c r="V92" i="3"/>
  <c r="Z94" i="3"/>
  <c r="AA94" i="3" s="1"/>
  <c r="X94" i="3"/>
  <c r="Y94" i="3" s="1"/>
  <c r="Z54" i="3"/>
  <c r="AA54" i="3" s="1"/>
  <c r="V7" i="3"/>
  <c r="X10" i="3"/>
  <c r="Y10" i="3" s="1"/>
  <c r="X14" i="3"/>
  <c r="Y14" i="3" s="1"/>
  <c r="Z37" i="3"/>
  <c r="AA37" i="3" s="1"/>
  <c r="V44" i="3"/>
  <c r="X50" i="3"/>
  <c r="Y50" i="3" s="1"/>
  <c r="V74" i="3"/>
  <c r="Z36" i="3"/>
  <c r="AA36" i="3" s="1"/>
  <c r="X36" i="3"/>
  <c r="Y36" i="3" s="1"/>
  <c r="V36" i="3"/>
  <c r="X44" i="3"/>
  <c r="Y44" i="3" s="1"/>
  <c r="Z50" i="3"/>
  <c r="AA50" i="3" s="1"/>
  <c r="Z4" i="3"/>
  <c r="AA4" i="3" s="1"/>
  <c r="V9" i="3"/>
  <c r="Z17" i="3"/>
  <c r="AA17" i="3" s="1"/>
  <c r="V19" i="3"/>
  <c r="X57" i="3"/>
  <c r="Y57" i="3" s="1"/>
  <c r="Z74" i="3"/>
  <c r="AA74" i="3" s="1"/>
  <c r="Z97" i="3"/>
  <c r="AA97" i="3" s="1"/>
  <c r="X97" i="3"/>
  <c r="Y97" i="3" s="1"/>
  <c r="V97" i="3"/>
  <c r="Z18" i="3"/>
  <c r="AA18" i="3" s="1"/>
  <c r="X18" i="3"/>
  <c r="Y18" i="3" s="1"/>
  <c r="V18" i="3"/>
  <c r="Z25" i="3"/>
  <c r="AA25" i="3" s="1"/>
  <c r="X38" i="3"/>
  <c r="Y38" i="3" s="1"/>
  <c r="I13" i="4"/>
  <c r="Q13" i="4"/>
  <c r="Y13" i="4"/>
  <c r="AG13" i="4"/>
  <c r="AO13" i="4"/>
  <c r="I11" i="4"/>
  <c r="Q11" i="4"/>
  <c r="Y11" i="4"/>
  <c r="I10" i="4"/>
  <c r="Q10" i="4"/>
  <c r="Y10" i="4"/>
  <c r="F102" i="1"/>
  <c r="O102" i="1" s="1"/>
  <c r="CE37" i="4" l="1"/>
  <c r="CE39" i="4"/>
  <c r="CE43" i="4"/>
  <c r="CE45" i="4"/>
  <c r="CE42" i="4"/>
  <c r="CE36" i="4"/>
  <c r="CE47" i="4"/>
  <c r="CE41" i="4"/>
  <c r="CE40" i="4"/>
  <c r="CE46" i="4"/>
  <c r="CE38" i="4"/>
  <c r="CE44" i="4"/>
  <c r="DF33" i="4"/>
  <c r="X82" i="3"/>
  <c r="Y82" i="3" s="1"/>
  <c r="T108" i="3"/>
  <c r="Z82" i="3"/>
  <c r="AA82" i="3" s="1"/>
  <c r="Z101" i="3"/>
  <c r="AA101" i="3" s="1"/>
  <c r="X41" i="3"/>
  <c r="Y41" i="3" s="1"/>
  <c r="V82" i="3"/>
  <c r="Z41" i="3"/>
  <c r="AA41" i="3" s="1"/>
  <c r="Z60" i="3"/>
  <c r="AA60" i="3" s="1"/>
  <c r="V59" i="3"/>
  <c r="V60" i="3"/>
  <c r="X68" i="3"/>
  <c r="Y68" i="3" s="1"/>
  <c r="Z68" i="3"/>
  <c r="AA68" i="3" s="1"/>
  <c r="X59" i="3"/>
  <c r="Y59" i="3" s="1"/>
  <c r="Z40" i="3"/>
  <c r="AA40" i="3" s="1"/>
  <c r="V30" i="3"/>
  <c r="V40" i="3"/>
  <c r="X31" i="3"/>
  <c r="Y31" i="3" s="1"/>
  <c r="V31" i="3"/>
  <c r="X30" i="3"/>
  <c r="Y30" i="3" s="1"/>
  <c r="V87" i="3"/>
  <c r="Z87" i="3"/>
  <c r="AA87" i="3" s="1"/>
  <c r="Z13" i="3"/>
  <c r="AA13" i="3" s="1"/>
  <c r="X100" i="3"/>
  <c r="Y100" i="3" s="1"/>
  <c r="Z43" i="3"/>
  <c r="AA43" i="3" s="1"/>
  <c r="Z42" i="3"/>
  <c r="AA42" i="3" s="1"/>
  <c r="Z71" i="3"/>
  <c r="AA71" i="3" s="1"/>
  <c r="V13" i="3"/>
  <c r="V63" i="3"/>
  <c r="V42" i="3"/>
  <c r="Z63" i="3"/>
  <c r="AA63" i="3" s="1"/>
  <c r="X84" i="3"/>
  <c r="Y84" i="3" s="1"/>
  <c r="X48" i="3"/>
  <c r="Y48" i="3" s="1"/>
  <c r="V48" i="3"/>
  <c r="V84" i="3"/>
  <c r="V76" i="3"/>
  <c r="X43" i="3"/>
  <c r="Y43" i="3" s="1"/>
  <c r="X71" i="3"/>
  <c r="Y71" i="3" s="1"/>
  <c r="X76" i="3"/>
  <c r="Y76" i="3" s="1"/>
  <c r="X28" i="3"/>
  <c r="Y28" i="3" s="1"/>
  <c r="V52" i="3"/>
  <c r="Z52" i="3"/>
  <c r="AA52" i="3" s="1"/>
  <c r="V28" i="3"/>
  <c r="X62" i="3"/>
  <c r="Y62" i="3" s="1"/>
  <c r="Z62" i="3"/>
  <c r="AA62" i="3" s="1"/>
  <c r="V62" i="3"/>
  <c r="Z69" i="3"/>
  <c r="AA69" i="3" s="1"/>
  <c r="V69" i="3"/>
  <c r="V27" i="3"/>
  <c r="Z27" i="3"/>
  <c r="AA27" i="3" s="1"/>
  <c r="Z51" i="3"/>
  <c r="AA51" i="3" s="1"/>
  <c r="X51" i="3"/>
  <c r="Y51" i="3" s="1"/>
  <c r="V51" i="3"/>
  <c r="X107" i="3"/>
  <c r="Y107" i="3" s="1"/>
  <c r="Z107" i="3"/>
  <c r="AA107" i="3" s="1"/>
  <c r="X70" i="3"/>
  <c r="Y70" i="3" s="1"/>
  <c r="Z70" i="3"/>
  <c r="AA70" i="3" s="1"/>
  <c r="V70" i="3"/>
  <c r="Z29" i="3"/>
  <c r="AA29" i="3" s="1"/>
  <c r="X29" i="3"/>
  <c r="Y29" i="3" s="1"/>
  <c r="V29" i="3"/>
  <c r="Z67" i="3"/>
  <c r="AA67" i="3" s="1"/>
  <c r="X67" i="3"/>
  <c r="Y67" i="3" s="1"/>
  <c r="V67" i="3"/>
  <c r="X26" i="3"/>
  <c r="Y26" i="3" s="1"/>
  <c r="Z26" i="3"/>
  <c r="AA26" i="3" s="1"/>
  <c r="V26" i="3"/>
  <c r="Z90" i="3"/>
  <c r="AA90" i="3" s="1"/>
  <c r="X90" i="3"/>
  <c r="Y90" i="3" s="1"/>
  <c r="V90" i="3"/>
  <c r="X99" i="3"/>
  <c r="Y99" i="3" s="1"/>
  <c r="Z99" i="3"/>
  <c r="AA99" i="3" s="1"/>
  <c r="O6" i="1"/>
  <c r="S6" i="1" s="1"/>
  <c r="T6" i="1" s="1"/>
  <c r="O7" i="1"/>
  <c r="S7" i="1" s="1"/>
  <c r="T7" i="1" s="1"/>
  <c r="G70" i="1"/>
  <c r="G69" i="1"/>
  <c r="F70" i="1"/>
  <c r="F69" i="1"/>
  <c r="G102" i="1"/>
  <c r="G101" i="1"/>
  <c r="G100" i="1"/>
  <c r="G99" i="1"/>
  <c r="F101" i="1"/>
  <c r="F100" i="1"/>
  <c r="F99" i="1"/>
  <c r="O95" i="1"/>
  <c r="U95" i="1" s="1"/>
  <c r="V95" i="1" s="1"/>
  <c r="F107" i="1"/>
  <c r="D104" i="1"/>
  <c r="D103" i="1"/>
  <c r="P102" i="1"/>
  <c r="P101" i="1"/>
  <c r="O101" i="1"/>
  <c r="P100" i="1"/>
  <c r="O100" i="1"/>
  <c r="P99" i="1"/>
  <c r="O99" i="1"/>
  <c r="S99" i="1" s="1"/>
  <c r="T99" i="1" s="1"/>
  <c r="P98" i="1"/>
  <c r="O98" i="1"/>
  <c r="U98" i="1" s="1"/>
  <c r="V98" i="1" s="1"/>
  <c r="P97" i="1"/>
  <c r="O97" i="1"/>
  <c r="U97" i="1" s="1"/>
  <c r="V97" i="1" s="1"/>
  <c r="P96" i="1"/>
  <c r="O96" i="1"/>
  <c r="S96" i="1" s="1"/>
  <c r="T96" i="1" s="1"/>
  <c r="P94" i="1"/>
  <c r="O94" i="1"/>
  <c r="U94" i="1" s="1"/>
  <c r="V94" i="1" s="1"/>
  <c r="P93" i="1"/>
  <c r="O93" i="1"/>
  <c r="U93" i="1" s="1"/>
  <c r="V93" i="1" s="1"/>
  <c r="P92" i="1"/>
  <c r="O92" i="1"/>
  <c r="U92" i="1" s="1"/>
  <c r="V92" i="1" s="1"/>
  <c r="S92" i="1"/>
  <c r="T92" i="1" s="1"/>
  <c r="P91" i="1"/>
  <c r="O91" i="1"/>
  <c r="U91" i="1" s="1"/>
  <c r="V91" i="1" s="1"/>
  <c r="U90" i="1"/>
  <c r="V90" i="1" s="1"/>
  <c r="P90" i="1"/>
  <c r="O90" i="1"/>
  <c r="Q90" i="1" s="1"/>
  <c r="N90" i="1"/>
  <c r="P89" i="1"/>
  <c r="O89" i="1"/>
  <c r="U89" i="1" s="1"/>
  <c r="V89" i="1" s="1"/>
  <c r="P88" i="1"/>
  <c r="O88" i="1"/>
  <c r="Q88" i="1" s="1"/>
  <c r="P87" i="1"/>
  <c r="O87" i="1"/>
  <c r="Q87" i="1" s="1"/>
  <c r="N87" i="1"/>
  <c r="P86" i="1"/>
  <c r="O86" i="1"/>
  <c r="S86" i="1" s="1"/>
  <c r="T86" i="1" s="1"/>
  <c r="P85" i="1"/>
  <c r="O85" i="1"/>
  <c r="Q85" i="1" s="1"/>
  <c r="P84" i="1"/>
  <c r="M84" i="1"/>
  <c r="O84" i="1"/>
  <c r="S84" i="1" s="1"/>
  <c r="T84" i="1" s="1"/>
  <c r="P83" i="1"/>
  <c r="O83" i="1"/>
  <c r="U83" i="1" s="1"/>
  <c r="V83" i="1" s="1"/>
  <c r="O82" i="1"/>
  <c r="U82" i="1" s="1"/>
  <c r="V82" i="1" s="1"/>
  <c r="M82" i="1"/>
  <c r="L82" i="1"/>
  <c r="P82" i="1"/>
  <c r="P81" i="1"/>
  <c r="O81" i="1"/>
  <c r="Q81" i="1" s="1"/>
  <c r="P80" i="1"/>
  <c r="O80" i="1"/>
  <c r="S80" i="1" s="1"/>
  <c r="T80" i="1" s="1"/>
  <c r="P79" i="1"/>
  <c r="O79" i="1"/>
  <c r="Q79" i="1" s="1"/>
  <c r="S78" i="1"/>
  <c r="T78" i="1" s="1"/>
  <c r="P78" i="1"/>
  <c r="O78" i="1"/>
  <c r="U78" i="1" s="1"/>
  <c r="V78" i="1" s="1"/>
  <c r="P77" i="1"/>
  <c r="O77" i="1"/>
  <c r="S77" i="1" s="1"/>
  <c r="T77" i="1" s="1"/>
  <c r="P76" i="1"/>
  <c r="O76" i="1"/>
  <c r="S76" i="1" s="1"/>
  <c r="T76" i="1" s="1"/>
  <c r="I76" i="1"/>
  <c r="P75" i="1"/>
  <c r="O75" i="1"/>
  <c r="S75" i="1" s="1"/>
  <c r="T75" i="1" s="1"/>
  <c r="P74" i="1"/>
  <c r="O74" i="1"/>
  <c r="S74" i="1" s="1"/>
  <c r="T74" i="1" s="1"/>
  <c r="P73" i="1"/>
  <c r="O73" i="1"/>
  <c r="U73" i="1" s="1"/>
  <c r="V73" i="1" s="1"/>
  <c r="P72" i="1"/>
  <c r="O72" i="1"/>
  <c r="Q72" i="1" s="1"/>
  <c r="P71" i="1"/>
  <c r="O71" i="1"/>
  <c r="I71" i="1"/>
  <c r="I70" i="1"/>
  <c r="P70" i="1"/>
  <c r="O70" i="1"/>
  <c r="S70" i="1" s="1"/>
  <c r="T70" i="1" s="1"/>
  <c r="I69" i="1"/>
  <c r="P68" i="1"/>
  <c r="O68" i="1"/>
  <c r="Q68" i="1" s="1"/>
  <c r="M68" i="1"/>
  <c r="I68" i="1"/>
  <c r="M67" i="1"/>
  <c r="I67" i="1"/>
  <c r="O67" i="1"/>
  <c r="Q67" i="1" s="1"/>
  <c r="P66" i="1"/>
  <c r="O66" i="1"/>
  <c r="U66" i="1" s="1"/>
  <c r="V66" i="1" s="1"/>
  <c r="P65" i="1"/>
  <c r="O65" i="1"/>
  <c r="U65" i="1" s="1"/>
  <c r="V65" i="1" s="1"/>
  <c r="P64" i="1"/>
  <c r="O64" i="1"/>
  <c r="S64" i="1" s="1"/>
  <c r="T64" i="1" s="1"/>
  <c r="N63" i="1"/>
  <c r="P63" i="1"/>
  <c r="P62" i="1"/>
  <c r="N62" i="1"/>
  <c r="O62" i="1"/>
  <c r="U62" i="1" s="1"/>
  <c r="V62" i="1" s="1"/>
  <c r="P61" i="1"/>
  <c r="O61" i="1"/>
  <c r="S61" i="1" s="1"/>
  <c r="T61" i="1" s="1"/>
  <c r="I60" i="1"/>
  <c r="P60" i="1"/>
  <c r="O59" i="1"/>
  <c r="S59" i="1" s="1"/>
  <c r="T59" i="1" s="1"/>
  <c r="Q59" i="1"/>
  <c r="I59" i="1"/>
  <c r="P59" i="1"/>
  <c r="P58" i="1"/>
  <c r="O58" i="1"/>
  <c r="S58" i="1" s="1"/>
  <c r="T58" i="1" s="1"/>
  <c r="P57" i="1"/>
  <c r="O57" i="1"/>
  <c r="S57" i="1" s="1"/>
  <c r="T57" i="1" s="1"/>
  <c r="P56" i="1"/>
  <c r="O56" i="1"/>
  <c r="Q56" i="1" s="1"/>
  <c r="P55" i="1"/>
  <c r="O55" i="1"/>
  <c r="Q55" i="1" s="1"/>
  <c r="Q54" i="1"/>
  <c r="P54" i="1"/>
  <c r="O54" i="1"/>
  <c r="U54" i="1" s="1"/>
  <c r="V54" i="1" s="1"/>
  <c r="P53" i="1"/>
  <c r="O53" i="1"/>
  <c r="S53" i="1" s="1"/>
  <c r="T53" i="1" s="1"/>
  <c r="N52" i="1"/>
  <c r="O52" i="1"/>
  <c r="Q52" i="1" s="1"/>
  <c r="I52" i="1"/>
  <c r="N51" i="1"/>
  <c r="I51" i="1"/>
  <c r="O51" i="1"/>
  <c r="Q51" i="1" s="1"/>
  <c r="P50" i="1"/>
  <c r="O50" i="1"/>
  <c r="U50" i="1" s="1"/>
  <c r="V50" i="1" s="1"/>
  <c r="P49" i="1"/>
  <c r="O49" i="1"/>
  <c r="U49" i="1" s="1"/>
  <c r="V49" i="1" s="1"/>
  <c r="P48" i="1"/>
  <c r="N48" i="1"/>
  <c r="O48" i="1"/>
  <c r="Q48" i="1" s="1"/>
  <c r="P47" i="1"/>
  <c r="O47" i="1"/>
  <c r="S47" i="1" s="1"/>
  <c r="T47" i="1" s="1"/>
  <c r="P46" i="1"/>
  <c r="O46" i="1"/>
  <c r="P45" i="1"/>
  <c r="O45" i="1"/>
  <c r="S45" i="1" s="1"/>
  <c r="T45" i="1" s="1"/>
  <c r="P44" i="1"/>
  <c r="O44" i="1"/>
  <c r="S44" i="1" s="1"/>
  <c r="T44" i="1" s="1"/>
  <c r="O43" i="1"/>
  <c r="Q43" i="1"/>
  <c r="I43" i="1"/>
  <c r="G43" i="1"/>
  <c r="P43" i="1"/>
  <c r="F43" i="1"/>
  <c r="I42" i="1"/>
  <c r="P42" i="1"/>
  <c r="I41" i="1"/>
  <c r="P41" i="1"/>
  <c r="I40" i="1"/>
  <c r="P40" i="1"/>
  <c r="O39" i="1"/>
  <c r="S39" i="1" s="1"/>
  <c r="T39" i="1" s="1"/>
  <c r="P39" i="1"/>
  <c r="P38" i="1"/>
  <c r="P37" i="1"/>
  <c r="O37" i="1"/>
  <c r="Q37" i="1" s="1"/>
  <c r="P36" i="1"/>
  <c r="O36" i="1"/>
  <c r="Q36" i="1" s="1"/>
  <c r="P35" i="1"/>
  <c r="O35" i="1"/>
  <c r="Q35" i="1" s="1"/>
  <c r="P34" i="1"/>
  <c r="O34" i="1"/>
  <c r="U34" i="1" s="1"/>
  <c r="V34" i="1" s="1"/>
  <c r="P33" i="1"/>
  <c r="O33" i="1"/>
  <c r="U33" i="1" s="1"/>
  <c r="V33" i="1" s="1"/>
  <c r="P32" i="1"/>
  <c r="O32" i="1"/>
  <c r="U32" i="1" s="1"/>
  <c r="V32" i="1" s="1"/>
  <c r="P31" i="1"/>
  <c r="N31" i="1"/>
  <c r="O31" i="1"/>
  <c r="U31" i="1" s="1"/>
  <c r="V31" i="1" s="1"/>
  <c r="P30" i="1"/>
  <c r="O30" i="1"/>
  <c r="S30" i="1" s="1"/>
  <c r="T30" i="1" s="1"/>
  <c r="N30" i="1"/>
  <c r="N29" i="1"/>
  <c r="O29" i="1"/>
  <c r="U29" i="1" s="1"/>
  <c r="V29" i="1" s="1"/>
  <c r="I29" i="1"/>
  <c r="N28" i="1"/>
  <c r="I28" i="1"/>
  <c r="O28" i="1"/>
  <c r="S28" i="1" s="1"/>
  <c r="T28" i="1" s="1"/>
  <c r="N27" i="1"/>
  <c r="I27" i="1"/>
  <c r="O27" i="1"/>
  <c r="U27" i="1" s="1"/>
  <c r="V27" i="1" s="1"/>
  <c r="N26" i="1"/>
  <c r="O26" i="1"/>
  <c r="S26" i="1" s="1"/>
  <c r="T26" i="1" s="1"/>
  <c r="I26" i="1"/>
  <c r="P26" i="1"/>
  <c r="P25" i="1"/>
  <c r="O25" i="1"/>
  <c r="Q25" i="1" s="1"/>
  <c r="P24" i="1"/>
  <c r="O24" i="1"/>
  <c r="U24" i="1" s="1"/>
  <c r="V24" i="1" s="1"/>
  <c r="P23" i="1"/>
  <c r="O23" i="1"/>
  <c r="U23" i="1" s="1"/>
  <c r="V23" i="1" s="1"/>
  <c r="P22" i="1"/>
  <c r="O22" i="1"/>
  <c r="Q22" i="1" s="1"/>
  <c r="P21" i="1"/>
  <c r="O21" i="1"/>
  <c r="S21" i="1" s="1"/>
  <c r="T21" i="1" s="1"/>
  <c r="P20" i="1"/>
  <c r="O20" i="1"/>
  <c r="S20" i="1"/>
  <c r="T20" i="1" s="1"/>
  <c r="P19" i="1"/>
  <c r="O19" i="1"/>
  <c r="S19" i="1" s="1"/>
  <c r="T19" i="1" s="1"/>
  <c r="P18" i="1"/>
  <c r="O18" i="1"/>
  <c r="U18" i="1" s="1"/>
  <c r="V18" i="1" s="1"/>
  <c r="S17" i="1"/>
  <c r="T17" i="1" s="1"/>
  <c r="P17" i="1"/>
  <c r="O17" i="1"/>
  <c r="U17" i="1" s="1"/>
  <c r="V17" i="1" s="1"/>
  <c r="Q17" i="1"/>
  <c r="P16" i="1"/>
  <c r="O16" i="1"/>
  <c r="U16" i="1" s="1"/>
  <c r="V16" i="1" s="1"/>
  <c r="P15" i="1"/>
  <c r="O15" i="1"/>
  <c r="U15" i="1" s="1"/>
  <c r="V15" i="1" s="1"/>
  <c r="P14" i="1"/>
  <c r="O14" i="1"/>
  <c r="Q14" i="1" s="1"/>
  <c r="I13" i="1"/>
  <c r="P13" i="1"/>
  <c r="U12" i="1"/>
  <c r="V12" i="1" s="1"/>
  <c r="S12" i="1"/>
  <c r="T12" i="1" s="1"/>
  <c r="U11" i="1"/>
  <c r="V11" i="1" s="1"/>
  <c r="S11" i="1"/>
  <c r="T11" i="1" s="1"/>
  <c r="P10" i="1"/>
  <c r="O10" i="1"/>
  <c r="S10" i="1" s="1"/>
  <c r="T10" i="1" s="1"/>
  <c r="I10" i="1"/>
  <c r="I9" i="1"/>
  <c r="P9" i="1"/>
  <c r="I8" i="1"/>
  <c r="O8" i="1"/>
  <c r="U8" i="1" s="1"/>
  <c r="V8" i="1" s="1"/>
  <c r="I7" i="1"/>
  <c r="U6" i="1"/>
  <c r="V6" i="1" s="1"/>
  <c r="P6" i="1"/>
  <c r="P5" i="1"/>
  <c r="O5" i="1"/>
  <c r="Q5" i="1" s="1"/>
  <c r="P4" i="1"/>
  <c r="O4" i="1"/>
  <c r="Q4" i="1" s="1"/>
  <c r="P3" i="1"/>
  <c r="O3" i="1"/>
  <c r="S3" i="1" s="1"/>
  <c r="T3" i="1" s="1"/>
  <c r="O69" i="1"/>
  <c r="U69" i="1" s="1"/>
  <c r="V69" i="1" s="1"/>
  <c r="S48" i="1"/>
  <c r="T48" i="1" s="1"/>
  <c r="U99" i="1"/>
  <c r="V99" i="1" s="1"/>
  <c r="U52" i="1"/>
  <c r="V52" i="1" s="1"/>
  <c r="U101" i="1"/>
  <c r="V101" i="1" s="1"/>
  <c r="S101" i="1"/>
  <c r="T101" i="1" s="1"/>
  <c r="U28" i="1"/>
  <c r="V28" i="1" s="1"/>
  <c r="Q28" i="1"/>
  <c r="U7" i="1"/>
  <c r="V7" i="1" s="1"/>
  <c r="Q10" i="1"/>
  <c r="O38" i="1"/>
  <c r="U87" i="1"/>
  <c r="V87" i="1" s="1"/>
  <c r="U102" i="1"/>
  <c r="V102" i="1" s="1"/>
  <c r="S102" i="1"/>
  <c r="T102" i="1" s="1"/>
  <c r="P7" i="1"/>
  <c r="P27" i="1"/>
  <c r="P28" i="1"/>
  <c r="P29" i="1"/>
  <c r="O41" i="1"/>
  <c r="U41" i="1" s="1"/>
  <c r="V41" i="1" s="1"/>
  <c r="S43" i="1"/>
  <c r="T43" i="1"/>
  <c r="U46" i="1"/>
  <c r="V46" i="1" s="1"/>
  <c r="Q46" i="1"/>
  <c r="P51" i="1"/>
  <c r="P52" i="1"/>
  <c r="O60" i="1"/>
  <c r="U60" i="1" s="1"/>
  <c r="V60" i="1" s="1"/>
  <c r="S71" i="1"/>
  <c r="T71" i="1"/>
  <c r="Q71" i="1"/>
  <c r="U85" i="1"/>
  <c r="V85" i="1" s="1"/>
  <c r="S85" i="1"/>
  <c r="T85" i="1" s="1"/>
  <c r="O42" i="1"/>
  <c r="U42" i="1" s="1"/>
  <c r="V42" i="1" s="1"/>
  <c r="P8" i="1"/>
  <c r="U10" i="1"/>
  <c r="V10" i="1" s="1"/>
  <c r="Q27" i="1"/>
  <c r="O63" i="1"/>
  <c r="S63" i="1" s="1"/>
  <c r="T63" i="1" s="1"/>
  <c r="S73" i="1"/>
  <c r="T73" i="1" s="1"/>
  <c r="O9" i="1"/>
  <c r="U9" i="1" s="1"/>
  <c r="V9" i="1" s="1"/>
  <c r="Q3" i="1"/>
  <c r="S27" i="1"/>
  <c r="T27" i="1" s="1"/>
  <c r="O40" i="1"/>
  <c r="S40" i="1" s="1"/>
  <c r="T40" i="1" s="1"/>
  <c r="U43" i="1"/>
  <c r="V43" i="1" s="1"/>
  <c r="S46" i="1"/>
  <c r="T46" i="1" s="1"/>
  <c r="Q49" i="1"/>
  <c r="P67" i="1"/>
  <c r="U71" i="1"/>
  <c r="V71" i="1" s="1"/>
  <c r="Q6" i="1"/>
  <c r="U13" i="1"/>
  <c r="V13" i="1" s="1"/>
  <c r="U56" i="1"/>
  <c r="V56" i="1" s="1"/>
  <c r="U20" i="1"/>
  <c r="V20" i="1" s="1"/>
  <c r="Q20" i="1"/>
  <c r="Q70" i="1"/>
  <c r="U61" i="1"/>
  <c r="V61" i="1" s="1"/>
  <c r="Q61" i="1"/>
  <c r="P69" i="1"/>
  <c r="S82" i="1"/>
  <c r="T82" i="1" s="1"/>
  <c r="U84" i="1"/>
  <c r="V84" i="1" s="1"/>
  <c r="S97" i="1"/>
  <c r="T97" i="1"/>
  <c r="Q97" i="1"/>
  <c r="U100" i="1"/>
  <c r="V100" i="1" s="1"/>
  <c r="S100" i="1"/>
  <c r="T100" i="1" s="1"/>
  <c r="Q92" i="1"/>
  <c r="E30" i="2"/>
  <c r="F30" i="2"/>
  <c r="G30" i="2"/>
  <c r="H30" i="2"/>
  <c r="I30" i="2"/>
  <c r="I7" i="2"/>
  <c r="J30" i="2"/>
  <c r="K30" i="2"/>
  <c r="K7" i="2"/>
  <c r="L30" i="2"/>
  <c r="L3" i="2"/>
  <c r="M30" i="2"/>
  <c r="N30" i="2"/>
  <c r="O30" i="2"/>
  <c r="P30" i="2"/>
  <c r="Q30" i="2"/>
  <c r="Q9" i="2"/>
  <c r="R30" i="2"/>
  <c r="S30" i="2"/>
  <c r="S5" i="2"/>
  <c r="T30" i="2"/>
  <c r="U30" i="2"/>
  <c r="V30" i="2"/>
  <c r="W30" i="2"/>
  <c r="X30" i="2"/>
  <c r="Y30" i="2"/>
  <c r="Y13" i="2"/>
  <c r="Z30" i="2"/>
  <c r="AA30" i="2"/>
  <c r="AA9" i="2"/>
  <c r="AB30" i="2"/>
  <c r="AB8" i="2"/>
  <c r="AC30" i="2"/>
  <c r="AD30" i="2"/>
  <c r="AE30" i="2"/>
  <c r="AF30" i="2"/>
  <c r="AG30" i="2"/>
  <c r="AG6" i="2"/>
  <c r="AH30" i="2"/>
  <c r="AI30" i="2"/>
  <c r="AI11" i="2"/>
  <c r="AJ30" i="2"/>
  <c r="AJ3" i="2"/>
  <c r="AK30" i="2"/>
  <c r="AK3" i="2"/>
  <c r="AL30" i="2"/>
  <c r="AM30" i="2"/>
  <c r="AM3" i="2"/>
  <c r="AN30" i="2"/>
  <c r="AO30" i="2"/>
  <c r="AO6" i="2"/>
  <c r="AP30" i="2"/>
  <c r="AQ30" i="2"/>
  <c r="AQ5" i="2"/>
  <c r="AR30" i="2"/>
  <c r="AR13" i="2"/>
  <c r="AS30" i="2"/>
  <c r="AS3" i="2"/>
  <c r="AT30" i="2"/>
  <c r="AU30" i="2"/>
  <c r="AV30" i="2"/>
  <c r="AW30" i="2"/>
  <c r="AW7" i="2"/>
  <c r="AX30" i="2"/>
  <c r="AY30" i="2"/>
  <c r="AY4" i="2"/>
  <c r="AZ30" i="2"/>
  <c r="BA30" i="2"/>
  <c r="BB30" i="2"/>
  <c r="BC30" i="2"/>
  <c r="BD30" i="2"/>
  <c r="BE30" i="2"/>
  <c r="BE4" i="2"/>
  <c r="BF30" i="2"/>
  <c r="BG30" i="2"/>
  <c r="BG3" i="2"/>
  <c r="BH30" i="2"/>
  <c r="BH6" i="2"/>
  <c r="BI30" i="2"/>
  <c r="BJ30" i="2"/>
  <c r="BK30" i="2"/>
  <c r="BK4" i="2"/>
  <c r="BL30" i="2"/>
  <c r="BM30" i="2"/>
  <c r="BN30" i="2"/>
  <c r="BO30" i="2"/>
  <c r="BO6" i="2"/>
  <c r="BP30" i="2"/>
  <c r="BP8" i="2"/>
  <c r="BQ30" i="2"/>
  <c r="BR30" i="2"/>
  <c r="BS30" i="2"/>
  <c r="BS4" i="2"/>
  <c r="BT30" i="2"/>
  <c r="BU30" i="2"/>
  <c r="BU5" i="2"/>
  <c r="BV30" i="2"/>
  <c r="BW30" i="2"/>
  <c r="BW9" i="2"/>
  <c r="BX30" i="2"/>
  <c r="BX5" i="2"/>
  <c r="BY30" i="2"/>
  <c r="BY3" i="2"/>
  <c r="BZ30" i="2"/>
  <c r="CA30" i="2"/>
  <c r="CA5" i="2"/>
  <c r="CB30" i="2"/>
  <c r="CC30" i="2"/>
  <c r="CC8" i="2"/>
  <c r="CD30" i="2"/>
  <c r="CE30" i="2"/>
  <c r="CE3" i="2"/>
  <c r="CF30" i="2"/>
  <c r="CF5" i="2"/>
  <c r="CG30" i="2"/>
  <c r="CG4" i="2"/>
  <c r="CH30" i="2"/>
  <c r="CI30" i="2"/>
  <c r="CI5" i="2"/>
  <c r="CJ30" i="2"/>
  <c r="CK30" i="2"/>
  <c r="CK4" i="2"/>
  <c r="CL30" i="2"/>
  <c r="CM30" i="2"/>
  <c r="CM3" i="2"/>
  <c r="CN30" i="2"/>
  <c r="CN4" i="2"/>
  <c r="CO30" i="2"/>
  <c r="CO4" i="2"/>
  <c r="CS30" i="2"/>
  <c r="CT30" i="2"/>
  <c r="CU30" i="2"/>
  <c r="CU3" i="2"/>
  <c r="CV30" i="2"/>
  <c r="CV10" i="2"/>
  <c r="CY30" i="2"/>
  <c r="CY9" i="2"/>
  <c r="CY12" i="2"/>
  <c r="CY10" i="2"/>
  <c r="CY8" i="2"/>
  <c r="CY4" i="2"/>
  <c r="H3" i="2"/>
  <c r="J3" i="2"/>
  <c r="O3" i="2"/>
  <c r="Q3" i="2"/>
  <c r="U3" i="2"/>
  <c r="V3" i="2"/>
  <c r="Z3" i="2"/>
  <c r="AE3" i="2"/>
  <c r="AF3" i="2"/>
  <c r="AL3" i="2"/>
  <c r="AO3" i="2"/>
  <c r="BD3" i="2"/>
  <c r="BK3" i="2"/>
  <c r="BL3" i="2"/>
  <c r="BN3" i="2"/>
  <c r="BT3" i="2"/>
  <c r="BV3" i="2"/>
  <c r="BZ3" i="2"/>
  <c r="CB3" i="2"/>
  <c r="CD3" i="2"/>
  <c r="CG3" i="2"/>
  <c r="CH3" i="2"/>
  <c r="CJ3" i="2"/>
  <c r="CL3" i="2"/>
  <c r="CS3" i="2"/>
  <c r="CT3" i="2"/>
  <c r="CV3" i="2"/>
  <c r="H4" i="2"/>
  <c r="J4" i="2"/>
  <c r="O4" i="2"/>
  <c r="Q4" i="2"/>
  <c r="U4" i="2"/>
  <c r="V4" i="2"/>
  <c r="Z4" i="2"/>
  <c r="AE4" i="2"/>
  <c r="AF4" i="2"/>
  <c r="AI4" i="2"/>
  <c r="AK4" i="2"/>
  <c r="AL4" i="2"/>
  <c r="AM4" i="2"/>
  <c r="AO4" i="2"/>
  <c r="AS4" i="2"/>
  <c r="BB4" i="2"/>
  <c r="BD4" i="2"/>
  <c r="BL4" i="2"/>
  <c r="BN4" i="2"/>
  <c r="BT4" i="2"/>
  <c r="BV4" i="2"/>
  <c r="BZ4" i="2"/>
  <c r="CB4" i="2"/>
  <c r="CC4" i="2"/>
  <c r="CD4" i="2"/>
  <c r="CH4" i="2"/>
  <c r="CI4" i="2"/>
  <c r="CJ4" i="2"/>
  <c r="CL4" i="2"/>
  <c r="CS4" i="2"/>
  <c r="CT4" i="2"/>
  <c r="H5" i="2"/>
  <c r="J5" i="2"/>
  <c r="O5" i="2"/>
  <c r="P5" i="2"/>
  <c r="Q5" i="2"/>
  <c r="U5" i="2"/>
  <c r="V5" i="2"/>
  <c r="Z5" i="2"/>
  <c r="AE5" i="2"/>
  <c r="AJ5" i="2"/>
  <c r="AK5" i="2"/>
  <c r="AL5" i="2"/>
  <c r="AM5" i="2"/>
  <c r="AS5" i="2"/>
  <c r="BD5" i="2"/>
  <c r="BJ5" i="2"/>
  <c r="BK5" i="2"/>
  <c r="BL5" i="2"/>
  <c r="BN5" i="2"/>
  <c r="BT5" i="2"/>
  <c r="BV5" i="2"/>
  <c r="BY5" i="2"/>
  <c r="BZ5" i="2"/>
  <c r="CB5" i="2"/>
  <c r="CD5" i="2"/>
  <c r="CH5" i="2"/>
  <c r="CJ5" i="2"/>
  <c r="CL5" i="2"/>
  <c r="CS5" i="2"/>
  <c r="CT5" i="2"/>
  <c r="H6" i="2"/>
  <c r="J6" i="2"/>
  <c r="M6" i="2"/>
  <c r="O6" i="2"/>
  <c r="U6" i="2"/>
  <c r="V6" i="2"/>
  <c r="Z6" i="2"/>
  <c r="AD6" i="2"/>
  <c r="AE6" i="2"/>
  <c r="AF6" i="2"/>
  <c r="AK6" i="2"/>
  <c r="AL6" i="2"/>
  <c r="AM6" i="2"/>
  <c r="AS6" i="2"/>
  <c r="AX6" i="2"/>
  <c r="BD6" i="2"/>
  <c r="BF6" i="2"/>
  <c r="BL6" i="2"/>
  <c r="BN6" i="2"/>
  <c r="BS6" i="2"/>
  <c r="BT6" i="2"/>
  <c r="BV6" i="2"/>
  <c r="BY6" i="2"/>
  <c r="BZ6" i="2"/>
  <c r="CA6" i="2"/>
  <c r="CB6" i="2"/>
  <c r="CD6" i="2"/>
  <c r="CG6" i="2"/>
  <c r="CH6" i="2"/>
  <c r="CI6" i="2"/>
  <c r="CJ6" i="2"/>
  <c r="CK6" i="2"/>
  <c r="CL6" i="2"/>
  <c r="CS6" i="2"/>
  <c r="CT6" i="2"/>
  <c r="H7" i="2"/>
  <c r="J7" i="2"/>
  <c r="O7" i="2"/>
  <c r="U7" i="2"/>
  <c r="V7" i="2"/>
  <c r="Z7" i="2"/>
  <c r="AE7" i="2"/>
  <c r="AK7" i="2"/>
  <c r="AL7" i="2"/>
  <c r="AM7" i="2"/>
  <c r="AS7" i="2"/>
  <c r="BD7" i="2"/>
  <c r="BE7" i="2"/>
  <c r="BG7" i="2"/>
  <c r="BL7" i="2"/>
  <c r="BN7" i="2"/>
  <c r="BP7" i="2"/>
  <c r="BS7" i="2"/>
  <c r="BT7" i="2"/>
  <c r="BU7" i="2"/>
  <c r="BV7" i="2"/>
  <c r="BY7" i="2"/>
  <c r="BZ7" i="2"/>
  <c r="CB7" i="2"/>
  <c r="CC7" i="2"/>
  <c r="CD7" i="2"/>
  <c r="CG7" i="2"/>
  <c r="CH7" i="2"/>
  <c r="CI7" i="2"/>
  <c r="CJ7" i="2"/>
  <c r="CL7" i="2"/>
  <c r="CS7" i="2"/>
  <c r="CT7" i="2"/>
  <c r="H8" i="2"/>
  <c r="J8" i="2"/>
  <c r="N8" i="2"/>
  <c r="O8" i="2"/>
  <c r="P8" i="2"/>
  <c r="U8" i="2"/>
  <c r="V8" i="2"/>
  <c r="Z8" i="2"/>
  <c r="AD8" i="2"/>
  <c r="AE8" i="2"/>
  <c r="AF8" i="2"/>
  <c r="AH8" i="2"/>
  <c r="AJ8" i="2"/>
  <c r="AK8" i="2"/>
  <c r="AL8" i="2"/>
  <c r="AM8" i="2"/>
  <c r="AR8" i="2"/>
  <c r="AS8" i="2"/>
  <c r="BA8" i="2"/>
  <c r="BD8" i="2"/>
  <c r="BL8" i="2"/>
  <c r="BN8" i="2"/>
  <c r="BS8" i="2"/>
  <c r="BT8" i="2"/>
  <c r="BV8" i="2"/>
  <c r="BY8" i="2"/>
  <c r="BZ8" i="2"/>
  <c r="CB8" i="2"/>
  <c r="CD8" i="2"/>
  <c r="CG8" i="2"/>
  <c r="CH8" i="2"/>
  <c r="CI8" i="2"/>
  <c r="CJ8" i="2"/>
  <c r="CL8" i="2"/>
  <c r="CS8" i="2"/>
  <c r="CT8" i="2"/>
  <c r="CV8" i="2"/>
  <c r="H9" i="2"/>
  <c r="J9" i="2"/>
  <c r="O9" i="2"/>
  <c r="U9" i="2"/>
  <c r="V9" i="2"/>
  <c r="Z9" i="2"/>
  <c r="AE9" i="2"/>
  <c r="AF9" i="2"/>
  <c r="AH9" i="2"/>
  <c r="AJ9" i="2"/>
  <c r="AK9" i="2"/>
  <c r="AL9" i="2"/>
  <c r="AM9" i="2"/>
  <c r="AS9" i="2"/>
  <c r="BD9" i="2"/>
  <c r="BF9" i="2"/>
  <c r="BH9" i="2"/>
  <c r="BI9" i="2"/>
  <c r="BL9" i="2"/>
  <c r="BN9" i="2"/>
  <c r="BS9" i="2"/>
  <c r="BT9" i="2"/>
  <c r="BV9" i="2"/>
  <c r="BY9" i="2"/>
  <c r="BZ9" i="2"/>
  <c r="CA9" i="2"/>
  <c r="CB9" i="2"/>
  <c r="CC9" i="2"/>
  <c r="CD9" i="2"/>
  <c r="CG9" i="2"/>
  <c r="CH9" i="2"/>
  <c r="CI9" i="2"/>
  <c r="CJ9" i="2"/>
  <c r="CL9" i="2"/>
  <c r="CS9" i="2"/>
  <c r="CT9" i="2"/>
  <c r="H10" i="2"/>
  <c r="J10" i="2"/>
  <c r="K10" i="2"/>
  <c r="N10" i="2"/>
  <c r="O10" i="2"/>
  <c r="U10" i="2"/>
  <c r="V10" i="2"/>
  <c r="Z10" i="2"/>
  <c r="AA10" i="2"/>
  <c r="AE10" i="2"/>
  <c r="AF10" i="2"/>
  <c r="AK10" i="2"/>
  <c r="AL10" i="2"/>
  <c r="AM10" i="2"/>
  <c r="AS10" i="2"/>
  <c r="AW10" i="2"/>
  <c r="BD10" i="2"/>
  <c r="BH10" i="2"/>
  <c r="BK10" i="2"/>
  <c r="BL10" i="2"/>
  <c r="BN10" i="2"/>
  <c r="BS10" i="2"/>
  <c r="BT10" i="2"/>
  <c r="BV10" i="2"/>
  <c r="BY10" i="2"/>
  <c r="BZ10" i="2"/>
  <c r="CB10" i="2"/>
  <c r="CD10" i="2"/>
  <c r="CG10" i="2"/>
  <c r="CH10" i="2"/>
  <c r="CI10" i="2"/>
  <c r="CJ10" i="2"/>
  <c r="CL10" i="2"/>
  <c r="CS10" i="2"/>
  <c r="CT10" i="2"/>
  <c r="H11" i="2"/>
  <c r="J11" i="2"/>
  <c r="M11" i="2"/>
  <c r="O11" i="2"/>
  <c r="Q11" i="2"/>
  <c r="S11" i="2"/>
  <c r="U11" i="2"/>
  <c r="V11" i="2"/>
  <c r="W11" i="2"/>
  <c r="Z11" i="2"/>
  <c r="AE11" i="2"/>
  <c r="AF11" i="2"/>
  <c r="AH11" i="2"/>
  <c r="AK11" i="2"/>
  <c r="AL11" i="2"/>
  <c r="AM11" i="2"/>
  <c r="AS11" i="2"/>
  <c r="BD11" i="2"/>
  <c r="BE11" i="2"/>
  <c r="BL11" i="2"/>
  <c r="BN11" i="2"/>
  <c r="BS11" i="2"/>
  <c r="BT11" i="2"/>
  <c r="BV11" i="2"/>
  <c r="BY11" i="2"/>
  <c r="BZ11" i="2"/>
  <c r="CB11" i="2"/>
  <c r="CD11" i="2"/>
  <c r="CG11" i="2"/>
  <c r="CH11" i="2"/>
  <c r="CI11" i="2"/>
  <c r="CJ11" i="2"/>
  <c r="CL11" i="2"/>
  <c r="CS11" i="2"/>
  <c r="CT11" i="2"/>
  <c r="H12" i="2"/>
  <c r="J12" i="2"/>
  <c r="N12" i="2"/>
  <c r="O12" i="2"/>
  <c r="Q12" i="2"/>
  <c r="U12" i="2"/>
  <c r="V12" i="2"/>
  <c r="Z12" i="2"/>
  <c r="AA12" i="2"/>
  <c r="AE12" i="2"/>
  <c r="AF12" i="2"/>
  <c r="AH12" i="2"/>
  <c r="AK12" i="2"/>
  <c r="AL12" i="2"/>
  <c r="AM12" i="2"/>
  <c r="AS12" i="2"/>
  <c r="AW12" i="2"/>
  <c r="BD12" i="2"/>
  <c r="BG12" i="2"/>
  <c r="BL12" i="2"/>
  <c r="BN12" i="2"/>
  <c r="BS12" i="2"/>
  <c r="BT12" i="2"/>
  <c r="BV12" i="2"/>
  <c r="BY12" i="2"/>
  <c r="BZ12" i="2"/>
  <c r="CA12" i="2"/>
  <c r="CB12" i="2"/>
  <c r="CC12" i="2"/>
  <c r="CD12" i="2"/>
  <c r="CG12" i="2"/>
  <c r="CH12" i="2"/>
  <c r="CI12" i="2"/>
  <c r="CJ12" i="2"/>
  <c r="CL12" i="2"/>
  <c r="CM12" i="2"/>
  <c r="CS12" i="2"/>
  <c r="CT12" i="2"/>
  <c r="CU12" i="2"/>
  <c r="H13" i="2"/>
  <c r="J13" i="2"/>
  <c r="M13" i="2"/>
  <c r="O13" i="2"/>
  <c r="Q13" i="2"/>
  <c r="U13" i="2"/>
  <c r="V13" i="2"/>
  <c r="Z13" i="2"/>
  <c r="AD13" i="2"/>
  <c r="AE13" i="2"/>
  <c r="AF13" i="2"/>
  <c r="AG13" i="2"/>
  <c r="AK13" i="2"/>
  <c r="AL13" i="2"/>
  <c r="AM13" i="2"/>
  <c r="AO13" i="2"/>
  <c r="AS13" i="2"/>
  <c r="AW13" i="2"/>
  <c r="AX13" i="2"/>
  <c r="BA13" i="2"/>
  <c r="BD13" i="2"/>
  <c r="BH13" i="2"/>
  <c r="BL13" i="2"/>
  <c r="BN13" i="2"/>
  <c r="BP13" i="2"/>
  <c r="BS13" i="2"/>
  <c r="BT13" i="2"/>
  <c r="BV13" i="2"/>
  <c r="BY13" i="2"/>
  <c r="BZ13" i="2"/>
  <c r="CA13" i="2"/>
  <c r="CB13" i="2"/>
  <c r="CD13" i="2"/>
  <c r="CG13" i="2"/>
  <c r="CH13" i="2"/>
  <c r="CI13" i="2"/>
  <c r="CJ13" i="2"/>
  <c r="CK13" i="2"/>
  <c r="CL13" i="2"/>
  <c r="CS13" i="2"/>
  <c r="CT13" i="2"/>
  <c r="H14" i="2"/>
  <c r="J14" i="2"/>
  <c r="N14" i="2"/>
  <c r="O14" i="2"/>
  <c r="P14" i="2"/>
  <c r="S14" i="2"/>
  <c r="U14" i="2"/>
  <c r="V14" i="2"/>
  <c r="W14" i="2"/>
  <c r="Z14" i="2"/>
  <c r="AE14" i="2"/>
  <c r="AF14" i="2"/>
  <c r="AH14" i="2"/>
  <c r="AK14" i="2"/>
  <c r="AL14" i="2"/>
  <c r="AM14" i="2"/>
  <c r="AS14" i="2"/>
  <c r="AW14" i="2"/>
  <c r="AX14" i="2"/>
  <c r="BA14" i="2"/>
  <c r="BD14" i="2"/>
  <c r="BI14" i="2"/>
  <c r="BL14" i="2"/>
  <c r="BN14" i="2"/>
  <c r="BS14" i="2"/>
  <c r="BT14" i="2"/>
  <c r="BV14" i="2"/>
  <c r="BY14" i="2"/>
  <c r="BZ14" i="2"/>
  <c r="CA14" i="2"/>
  <c r="CB14" i="2"/>
  <c r="CD14" i="2"/>
  <c r="CG14" i="2"/>
  <c r="CH14" i="2"/>
  <c r="CI14" i="2"/>
  <c r="CJ14" i="2"/>
  <c r="CL14" i="2"/>
  <c r="CS14" i="2"/>
  <c r="CT14" i="2"/>
  <c r="E3" i="2"/>
  <c r="F3" i="2"/>
  <c r="G3" i="2"/>
  <c r="E4" i="2"/>
  <c r="F4" i="2"/>
  <c r="G4" i="2"/>
  <c r="E5" i="2"/>
  <c r="F5" i="2"/>
  <c r="G5" i="2"/>
  <c r="E6" i="2"/>
  <c r="F6" i="2"/>
  <c r="G6" i="2"/>
  <c r="E7" i="2"/>
  <c r="F7" i="2"/>
  <c r="G7" i="2"/>
  <c r="E8" i="2"/>
  <c r="F8" i="2"/>
  <c r="G8" i="2"/>
  <c r="E9" i="2"/>
  <c r="F9" i="2"/>
  <c r="G9" i="2"/>
  <c r="E10" i="2"/>
  <c r="F10" i="2"/>
  <c r="G10" i="2"/>
  <c r="E11" i="2"/>
  <c r="F11" i="2"/>
  <c r="G11" i="2"/>
  <c r="E12" i="2"/>
  <c r="F12" i="2"/>
  <c r="G12" i="2"/>
  <c r="E13" i="2"/>
  <c r="F13" i="2"/>
  <c r="G13" i="2"/>
  <c r="E14" i="2"/>
  <c r="F14" i="2"/>
  <c r="G14" i="2"/>
  <c r="D3" i="2"/>
  <c r="D14" i="2"/>
  <c r="D11" i="2"/>
  <c r="D9" i="2"/>
  <c r="D7" i="2"/>
  <c r="D6" i="2"/>
  <c r="M8" i="2"/>
  <c r="N7" i="2"/>
  <c r="P10" i="2"/>
  <c r="R6" i="2"/>
  <c r="T10" i="2"/>
  <c r="W13" i="2"/>
  <c r="X6" i="2"/>
  <c r="AC3" i="2"/>
  <c r="AD4" i="2"/>
  <c r="AF5" i="2"/>
  <c r="AG3" i="2"/>
  <c r="AH4" i="2"/>
  <c r="AN8" i="2"/>
  <c r="AP7" i="2"/>
  <c r="AT5" i="2"/>
  <c r="AU3" i="2"/>
  <c r="AV7" i="2"/>
  <c r="AX7" i="2"/>
  <c r="AZ4" i="2"/>
  <c r="BA11" i="2"/>
  <c r="BB7" i="2"/>
  <c r="BC8" i="2"/>
  <c r="BF5" i="2"/>
  <c r="BI4" i="2"/>
  <c r="BJ9" i="2"/>
  <c r="BK9" i="2"/>
  <c r="BM3" i="2"/>
  <c r="BQ9" i="2"/>
  <c r="BR5" i="2"/>
  <c r="D30" i="2"/>
  <c r="D8" i="2"/>
  <c r="U38" i="1"/>
  <c r="V38" i="1" s="1"/>
  <c r="Q38" i="1"/>
  <c r="S38" i="1"/>
  <c r="T38" i="1" s="1"/>
  <c r="S41" i="1"/>
  <c r="T41" i="1" s="1"/>
  <c r="Q63" i="1"/>
  <c r="Q13" i="1"/>
  <c r="I6" i="2"/>
  <c r="AB10" i="2"/>
  <c r="D10" i="2"/>
  <c r="AG14" i="2"/>
  <c r="Q14" i="2"/>
  <c r="CV13" i="2"/>
  <c r="BE13" i="2"/>
  <c r="I13" i="2"/>
  <c r="CK12" i="2"/>
  <c r="BP12" i="2"/>
  <c r="AG12" i="2"/>
  <c r="CC11" i="2"/>
  <c r="BP11" i="2"/>
  <c r="AR11" i="2"/>
  <c r="CC10" i="2"/>
  <c r="BP10" i="2"/>
  <c r="L10" i="2"/>
  <c r="BP9" i="2"/>
  <c r="AW9" i="2"/>
  <c r="L9" i="2"/>
  <c r="CK8" i="2"/>
  <c r="AO8" i="2"/>
  <c r="AR7" i="2"/>
  <c r="CV6" i="2"/>
  <c r="BU6" i="2"/>
  <c r="BE6" i="2"/>
  <c r="BP5" i="2"/>
  <c r="AW5" i="2"/>
  <c r="I5" i="2"/>
  <c r="BU4" i="2"/>
  <c r="AJ4" i="2"/>
  <c r="CK3" i="2"/>
  <c r="BE3" i="2"/>
  <c r="I3" i="2"/>
  <c r="AR12" i="2"/>
  <c r="CK11" i="2"/>
  <c r="AO11" i="2"/>
  <c r="AB11" i="2"/>
  <c r="AR10" i="2"/>
  <c r="CK9" i="2"/>
  <c r="BH8" i="2"/>
  <c r="L8" i="2"/>
  <c r="CK7" i="2"/>
  <c r="AO7" i="2"/>
  <c r="CV5" i="2"/>
  <c r="CC5" i="2"/>
  <c r="AW4" i="2"/>
  <c r="BU3" i="2"/>
  <c r="L14" i="2"/>
  <c r="I11" i="2"/>
  <c r="BH3" i="2"/>
  <c r="Y14" i="2"/>
  <c r="L5" i="2"/>
  <c r="CF13" i="2"/>
  <c r="D4" i="2"/>
  <c r="D12" i="2"/>
  <c r="CV14" i="2"/>
  <c r="BH14" i="2"/>
  <c r="AO14" i="2"/>
  <c r="CV12" i="2"/>
  <c r="AO12" i="2"/>
  <c r="L11" i="2"/>
  <c r="CK10" i="2"/>
  <c r="AO10" i="2"/>
  <c r="AR9" i="2"/>
  <c r="I9" i="2"/>
  <c r="BE8" i="2"/>
  <c r="BH7" i="2"/>
  <c r="Q7" i="2"/>
  <c r="CC6" i="2"/>
  <c r="AJ6" i="2"/>
  <c r="Q6" i="2"/>
  <c r="AR5" i="2"/>
  <c r="CV4" i="2"/>
  <c r="CF4" i="2"/>
  <c r="BP4" i="2"/>
  <c r="I4" i="2"/>
  <c r="AW3" i="2"/>
  <c r="AR14" i="2"/>
  <c r="BU13" i="2"/>
  <c r="D5" i="2"/>
  <c r="D13" i="2"/>
  <c r="CF14" i="2"/>
  <c r="BU14" i="2"/>
  <c r="BE14" i="2"/>
  <c r="CC13" i="2"/>
  <c r="AJ13" i="2"/>
  <c r="BH12" i="2"/>
  <c r="I12" i="2"/>
  <c r="BH11" i="2"/>
  <c r="I10" i="2"/>
  <c r="AO9" i="2"/>
  <c r="BU8" i="2"/>
  <c r="I8" i="2"/>
  <c r="BP6" i="2"/>
  <c r="AW6" i="2"/>
  <c r="AO5" i="2"/>
  <c r="AR4" i="2"/>
  <c r="BP3" i="2"/>
  <c r="AR3" i="2"/>
  <c r="L7" i="2"/>
  <c r="CF12" i="2"/>
  <c r="BU12" i="2"/>
  <c r="BE12" i="2"/>
  <c r="CV11" i="2"/>
  <c r="BU11" i="2"/>
  <c r="AJ11" i="2"/>
  <c r="BU10" i="2"/>
  <c r="BE10" i="2"/>
  <c r="Q10" i="2"/>
  <c r="CV9" i="2"/>
  <c r="BU9" i="2"/>
  <c r="AW8" i="2"/>
  <c r="Q8" i="2"/>
  <c r="CV7" i="2"/>
  <c r="AJ7" i="2"/>
  <c r="AR6" i="2"/>
  <c r="L6" i="2"/>
  <c r="CK5" i="2"/>
  <c r="BH5" i="2"/>
  <c r="BH4" i="2"/>
  <c r="CC3" i="2"/>
  <c r="CC14" i="2"/>
  <c r="CK14" i="2"/>
  <c r="BP14" i="2"/>
  <c r="AJ14" i="2"/>
  <c r="I14" i="2"/>
  <c r="AJ12" i="2"/>
  <c r="CF11" i="2"/>
  <c r="AW11" i="2"/>
  <c r="AJ10" i="2"/>
  <c r="BE9" i="2"/>
  <c r="BE5" i="2"/>
  <c r="CF10" i="2"/>
  <c r="CF9" i="2"/>
  <c r="CF8" i="2"/>
  <c r="CF7" i="2"/>
  <c r="CF3" i="2"/>
  <c r="CF6" i="2"/>
  <c r="CO10" i="2"/>
  <c r="CO8" i="2"/>
  <c r="CO14" i="2"/>
  <c r="CO9" i="2"/>
  <c r="CO3" i="2"/>
  <c r="CO12" i="2"/>
  <c r="CO11" i="2"/>
  <c r="CO13" i="2"/>
  <c r="CO7" i="2"/>
  <c r="CO6" i="2"/>
  <c r="CN14" i="2"/>
  <c r="CN10" i="2"/>
  <c r="CN5" i="2"/>
  <c r="CN7" i="2"/>
  <c r="CN11" i="2"/>
  <c r="CN8" i="2"/>
  <c r="CN6" i="2"/>
  <c r="CN13" i="2"/>
  <c r="CN12" i="2"/>
  <c r="CN3" i="2"/>
  <c r="CN9" i="2"/>
  <c r="CE12" i="2"/>
  <c r="AI13" i="2"/>
  <c r="S12" i="2"/>
  <c r="BG14" i="2"/>
  <c r="K12" i="2"/>
  <c r="BO11" i="2"/>
  <c r="AI6" i="2"/>
  <c r="CO5" i="2"/>
  <c r="CG5" i="2"/>
  <c r="AA5" i="2"/>
  <c r="K5" i="2"/>
  <c r="BO4" i="2"/>
  <c r="BS3" i="2"/>
  <c r="CY3" i="2"/>
  <c r="CY11" i="2"/>
  <c r="CE5" i="2"/>
  <c r="BY4" i="2"/>
  <c r="K4" i="2"/>
  <c r="BO3" i="2"/>
  <c r="AI3" i="2"/>
  <c r="CY5" i="2"/>
  <c r="CY13" i="2"/>
  <c r="CU13" i="2"/>
  <c r="CE13" i="2"/>
  <c r="BO9" i="2"/>
  <c r="BG8" i="2"/>
  <c r="S7" i="2"/>
  <c r="CU5" i="2"/>
  <c r="BO14" i="2"/>
  <c r="CU10" i="2"/>
  <c r="CM10" i="2"/>
  <c r="CE10" i="2"/>
  <c r="BG10" i="2"/>
  <c r="AI9" i="2"/>
  <c r="CU8" i="2"/>
  <c r="CM8" i="2"/>
  <c r="CE8" i="2"/>
  <c r="CU6" i="2"/>
  <c r="CM6" i="2"/>
  <c r="CE6" i="2"/>
  <c r="BG6" i="2"/>
  <c r="BS5" i="2"/>
  <c r="BG5" i="2"/>
  <c r="CI3" i="2"/>
  <c r="CY6" i="2"/>
  <c r="CY14" i="2"/>
  <c r="CM13" i="2"/>
  <c r="CU7" i="2"/>
  <c r="CM7" i="2"/>
  <c r="CE7" i="2"/>
  <c r="CM5" i="2"/>
  <c r="AA13" i="2"/>
  <c r="K13" i="2"/>
  <c r="AI12" i="2"/>
  <c r="BG11" i="2"/>
  <c r="AA11" i="2"/>
  <c r="AA8" i="2"/>
  <c r="AI7" i="2"/>
  <c r="AA4" i="2"/>
  <c r="K3" i="2"/>
  <c r="CY7" i="2"/>
  <c r="AI14" i="2"/>
  <c r="K14" i="2"/>
  <c r="K8" i="2"/>
  <c r="BO7" i="2"/>
  <c r="AA6" i="2"/>
  <c r="K6" i="2"/>
  <c r="BO5" i="2"/>
  <c r="CU4" i="2"/>
  <c r="CM4" i="2"/>
  <c r="CE4" i="2"/>
  <c r="BG4" i="2"/>
  <c r="AA3" i="2"/>
  <c r="AA14" i="2"/>
  <c r="BG13" i="2"/>
  <c r="BO12" i="2"/>
  <c r="CU11" i="2"/>
  <c r="CM11" i="2"/>
  <c r="CE11" i="2"/>
  <c r="BO13" i="2"/>
  <c r="K11" i="2"/>
  <c r="BO10" i="2"/>
  <c r="AI10" i="2"/>
  <c r="CU9" i="2"/>
  <c r="CM9" i="2"/>
  <c r="CE9" i="2"/>
  <c r="K9" i="2"/>
  <c r="BO8" i="2"/>
  <c r="AI8" i="2"/>
  <c r="AA7" i="2"/>
  <c r="AI5" i="2"/>
  <c r="CU14" i="2"/>
  <c r="CM14" i="2"/>
  <c r="CE14" i="2"/>
  <c r="BG9" i="2"/>
  <c r="CA4" i="2"/>
  <c r="CA10" i="2"/>
  <c r="CA11" i="2"/>
  <c r="CA8" i="2"/>
  <c r="CA7" i="2"/>
  <c r="CA3" i="2"/>
  <c r="BX8" i="2"/>
  <c r="BX13" i="2"/>
  <c r="BX12" i="2"/>
  <c r="BX11" i="2"/>
  <c r="BX10" i="2"/>
  <c r="BX3" i="2"/>
  <c r="BX9" i="2"/>
  <c r="BX4" i="2"/>
  <c r="BX7" i="2"/>
  <c r="BX14" i="2"/>
  <c r="BX6" i="2"/>
  <c r="BW12" i="2"/>
  <c r="BW3" i="2"/>
  <c r="BW13" i="2"/>
  <c r="BW10" i="2"/>
  <c r="BW4" i="2"/>
  <c r="BW7" i="2"/>
  <c r="BW14" i="2"/>
  <c r="BW6" i="2"/>
  <c r="BW5" i="2"/>
  <c r="BW11" i="2"/>
  <c r="BW8" i="2"/>
  <c r="BR13" i="2"/>
  <c r="BR11" i="2"/>
  <c r="BR3" i="2"/>
  <c r="BR14" i="2"/>
  <c r="BR12" i="2"/>
  <c r="BR9" i="2"/>
  <c r="BR8" i="2"/>
  <c r="BR6" i="2"/>
  <c r="BR7" i="2"/>
  <c r="BR10" i="2"/>
  <c r="BR4" i="2"/>
  <c r="BQ8" i="2"/>
  <c r="BQ14" i="2"/>
  <c r="BQ6" i="2"/>
  <c r="BQ12" i="2"/>
  <c r="BQ11" i="2"/>
  <c r="BQ7" i="2"/>
  <c r="BQ3" i="2"/>
  <c r="BQ5" i="2"/>
  <c r="BQ4" i="2"/>
  <c r="BQ13" i="2"/>
  <c r="BQ10" i="2"/>
  <c r="BM13" i="2"/>
  <c r="BM6" i="2"/>
  <c r="BM10" i="2"/>
  <c r="BM7" i="2"/>
  <c r="BM9" i="2"/>
  <c r="BM12" i="2"/>
  <c r="BM8" i="2"/>
  <c r="BM5" i="2"/>
  <c r="BM14" i="2"/>
  <c r="BM11" i="2"/>
  <c r="BM4" i="2"/>
  <c r="BK12" i="2"/>
  <c r="BK7" i="2"/>
  <c r="BK6" i="2"/>
  <c r="BK14" i="2"/>
  <c r="BK11" i="2"/>
  <c r="BK13" i="2"/>
  <c r="BK8" i="2"/>
  <c r="BJ7" i="2"/>
  <c r="BJ4" i="2"/>
  <c r="BJ8" i="2"/>
  <c r="BJ6" i="2"/>
  <c r="BJ3" i="2"/>
  <c r="BJ14" i="2"/>
  <c r="BJ12" i="2"/>
  <c r="BJ10" i="2"/>
  <c r="BJ13" i="2"/>
  <c r="BJ11" i="2"/>
  <c r="BI3" i="2"/>
  <c r="BI12" i="2"/>
  <c r="BI8" i="2"/>
  <c r="BI7" i="2"/>
  <c r="BI10" i="2"/>
  <c r="BI5" i="2"/>
  <c r="BI11" i="2"/>
  <c r="BI6" i="2"/>
  <c r="BI13" i="2"/>
  <c r="BF4" i="2"/>
  <c r="BF14" i="2"/>
  <c r="BF11" i="2"/>
  <c r="BF10" i="2"/>
  <c r="BF8" i="2"/>
  <c r="BF7" i="2"/>
  <c r="BF3" i="2"/>
  <c r="BF13" i="2"/>
  <c r="BF12" i="2"/>
  <c r="BC9" i="2"/>
  <c r="BC7" i="2"/>
  <c r="BC11" i="2"/>
  <c r="BC14" i="2"/>
  <c r="BC4" i="2"/>
  <c r="BC13" i="2"/>
  <c r="BC10" i="2"/>
  <c r="BC6" i="2"/>
  <c r="BC5" i="2"/>
  <c r="BC3" i="2"/>
  <c r="BC12" i="2"/>
  <c r="BB14" i="2"/>
  <c r="BB10" i="2"/>
  <c r="BB6" i="2"/>
  <c r="BB13" i="2"/>
  <c r="BB5" i="2"/>
  <c r="BB11" i="2"/>
  <c r="BB9" i="2"/>
  <c r="BB3" i="2"/>
  <c r="BB8" i="2"/>
  <c r="BB12" i="2"/>
  <c r="BA9" i="2"/>
  <c r="BA6" i="2"/>
  <c r="BA4" i="2"/>
  <c r="BA10" i="2"/>
  <c r="BA7" i="2"/>
  <c r="BA5" i="2"/>
  <c r="BA3" i="2"/>
  <c r="BA12" i="2"/>
  <c r="AZ5" i="2"/>
  <c r="AZ13" i="2"/>
  <c r="AZ10" i="2"/>
  <c r="AZ9" i="2"/>
  <c r="AZ8" i="2"/>
  <c r="AZ14" i="2"/>
  <c r="AZ12" i="2"/>
  <c r="AZ6" i="2"/>
  <c r="AZ3" i="2"/>
  <c r="AZ11" i="2"/>
  <c r="AZ7" i="2"/>
  <c r="AY13" i="2"/>
  <c r="AY7" i="2"/>
  <c r="AY6" i="2"/>
  <c r="AY10" i="2"/>
  <c r="AY9" i="2"/>
  <c r="AY14" i="2"/>
  <c r="AY12" i="2"/>
  <c r="AY8" i="2"/>
  <c r="AY3" i="2"/>
  <c r="AY11" i="2"/>
  <c r="AY5" i="2"/>
  <c r="AX8" i="2"/>
  <c r="AX12" i="2"/>
  <c r="AX5" i="2"/>
  <c r="AX10" i="2"/>
  <c r="AX4" i="2"/>
  <c r="AX3" i="2"/>
  <c r="AX11" i="2"/>
  <c r="AX9" i="2"/>
  <c r="AV4" i="2"/>
  <c r="AV6" i="2"/>
  <c r="AV3" i="2"/>
  <c r="AV14" i="2"/>
  <c r="AV13" i="2"/>
  <c r="AV10" i="2"/>
  <c r="AV11" i="2"/>
  <c r="AV5" i="2"/>
  <c r="AV8" i="2"/>
  <c r="AV9" i="2"/>
  <c r="AV12" i="2"/>
  <c r="AU8" i="2"/>
  <c r="AU5" i="2"/>
  <c r="AU11" i="2"/>
  <c r="AU7" i="2"/>
  <c r="AU12" i="2"/>
  <c r="AU6" i="2"/>
  <c r="AU14" i="2"/>
  <c r="AU9" i="2"/>
  <c r="AU4" i="2"/>
  <c r="AU10" i="2"/>
  <c r="AU13" i="2"/>
  <c r="AT11" i="2"/>
  <c r="AT6" i="2"/>
  <c r="AT14" i="2"/>
  <c r="AT10" i="2"/>
  <c r="AT12" i="2"/>
  <c r="AT13" i="2"/>
  <c r="AT8" i="2"/>
  <c r="AT4" i="2"/>
  <c r="AT7" i="2"/>
  <c r="AT9" i="2"/>
  <c r="AT3" i="2"/>
  <c r="AQ8" i="2"/>
  <c r="AQ14" i="2"/>
  <c r="AQ3" i="2"/>
  <c r="AQ11" i="2"/>
  <c r="AQ9" i="2"/>
  <c r="AQ7" i="2"/>
  <c r="AQ10" i="2"/>
  <c r="AQ4" i="2"/>
  <c r="AQ6" i="2"/>
  <c r="AQ12" i="2"/>
  <c r="AQ13" i="2"/>
  <c r="AP3" i="2"/>
  <c r="AP13" i="2"/>
  <c r="AP12" i="2"/>
  <c r="AP4" i="2"/>
  <c r="AP9" i="2"/>
  <c r="AP6" i="2"/>
  <c r="AP11" i="2"/>
  <c r="AP8" i="2"/>
  <c r="AP14" i="2"/>
  <c r="AP10" i="2"/>
  <c r="AP5" i="2"/>
  <c r="AN13" i="2"/>
  <c r="AN12" i="2"/>
  <c r="AN6" i="2"/>
  <c r="AN14" i="2"/>
  <c r="AN11" i="2"/>
  <c r="AN7" i="2"/>
  <c r="AN4" i="2"/>
  <c r="AN5" i="2"/>
  <c r="AN3" i="2"/>
  <c r="AN10" i="2"/>
  <c r="AN9" i="2"/>
  <c r="AH3" i="2"/>
  <c r="AH7" i="2"/>
  <c r="AH6" i="2"/>
  <c r="AH13" i="2"/>
  <c r="AH10" i="2"/>
  <c r="AH5" i="2"/>
  <c r="AG10" i="2"/>
  <c r="AG7" i="2"/>
  <c r="AG11" i="2"/>
  <c r="AG8" i="2"/>
  <c r="AG9" i="2"/>
  <c r="AG5" i="2"/>
  <c r="AG4" i="2"/>
  <c r="AF7" i="2"/>
  <c r="AD9" i="2"/>
  <c r="AD3" i="2"/>
  <c r="AD14" i="2"/>
  <c r="AD12" i="2"/>
  <c r="AD10" i="2"/>
  <c r="AD5" i="2"/>
  <c r="AD11" i="2"/>
  <c r="AD7" i="2"/>
  <c r="AC6" i="2"/>
  <c r="AB3" i="2"/>
  <c r="AC12" i="2"/>
  <c r="AC9" i="2"/>
  <c r="AB6" i="2"/>
  <c r="AB12" i="2"/>
  <c r="AB9" i="2"/>
  <c r="AC4" i="2"/>
  <c r="AC7" i="2"/>
  <c r="AB4" i="2"/>
  <c r="AC14" i="2"/>
  <c r="AC13" i="2"/>
  <c r="AC10" i="2"/>
  <c r="AB7" i="2"/>
  <c r="AB5" i="2"/>
  <c r="AB14" i="2"/>
  <c r="AB13" i="2"/>
  <c r="AC11" i="2"/>
  <c r="AC8" i="2"/>
  <c r="AC5" i="2"/>
  <c r="Y9" i="2"/>
  <c r="Y5" i="2"/>
  <c r="Y11" i="2"/>
  <c r="Y10" i="2"/>
  <c r="Y6" i="2"/>
  <c r="Y3" i="2"/>
  <c r="Y7" i="2"/>
  <c r="Y12" i="2"/>
  <c r="Y8" i="2"/>
  <c r="Y4" i="2"/>
  <c r="X13" i="2"/>
  <c r="X8" i="2"/>
  <c r="X7" i="2"/>
  <c r="X11" i="2"/>
  <c r="X9" i="2"/>
  <c r="X3" i="2"/>
  <c r="X14" i="2"/>
  <c r="X12" i="2"/>
  <c r="X10" i="2"/>
  <c r="X4" i="2"/>
  <c r="X5" i="2"/>
  <c r="W3" i="2"/>
  <c r="W8" i="2"/>
  <c r="W12" i="2"/>
  <c r="W10" i="2"/>
  <c r="W9" i="2"/>
  <c r="W7" i="2"/>
  <c r="W6" i="2"/>
  <c r="W5" i="2"/>
  <c r="W4" i="2"/>
  <c r="T8" i="2"/>
  <c r="T7" i="2"/>
  <c r="T6" i="2"/>
  <c r="T5" i="2"/>
  <c r="T3" i="2"/>
  <c r="T9" i="2"/>
  <c r="T13" i="2"/>
  <c r="T12" i="2"/>
  <c r="T11" i="2"/>
  <c r="T4" i="2"/>
  <c r="T14" i="2"/>
  <c r="S6" i="2"/>
  <c r="S10" i="2"/>
  <c r="S9" i="2"/>
  <c r="S4" i="2"/>
  <c r="S3" i="2"/>
  <c r="S8" i="2"/>
  <c r="S13" i="2"/>
  <c r="R14" i="2"/>
  <c r="R11" i="2"/>
  <c r="R8" i="2"/>
  <c r="R5" i="2"/>
  <c r="R13" i="2"/>
  <c r="R7" i="2"/>
  <c r="R3" i="2"/>
  <c r="R4" i="2"/>
  <c r="R10" i="2"/>
  <c r="R12" i="2"/>
  <c r="R9" i="2"/>
  <c r="P12" i="2"/>
  <c r="P7" i="2"/>
  <c r="P11" i="2"/>
  <c r="P9" i="2"/>
  <c r="P4" i="2"/>
  <c r="P13" i="2"/>
  <c r="P6" i="2"/>
  <c r="P3" i="2"/>
  <c r="N5" i="2"/>
  <c r="N6" i="2"/>
  <c r="N4" i="2"/>
  <c r="N11" i="2"/>
  <c r="N3" i="2"/>
  <c r="N13" i="2"/>
  <c r="N9" i="2"/>
  <c r="M9" i="2"/>
  <c r="M4" i="2"/>
  <c r="M14" i="2"/>
  <c r="M12" i="2"/>
  <c r="M7" i="2"/>
  <c r="M10" i="2"/>
  <c r="M5" i="2"/>
  <c r="M3" i="2"/>
  <c r="L12" i="2"/>
  <c r="L4" i="2"/>
  <c r="L13" i="2"/>
  <c r="CE48" i="4" l="1"/>
  <c r="V108" i="3"/>
  <c r="V109" i="3"/>
  <c r="Q73" i="1"/>
  <c r="S87" i="1"/>
  <c r="T87" i="1" s="1"/>
  <c r="Q64" i="1"/>
  <c r="U72" i="1"/>
  <c r="V72" i="1" s="1"/>
  <c r="Q16" i="1"/>
  <c r="S42" i="1"/>
  <c r="T42" i="1" s="1"/>
  <c r="Q42" i="1"/>
  <c r="Q84" i="1"/>
  <c r="Q80" i="1"/>
  <c r="Q7" i="1"/>
  <c r="U58" i="1"/>
  <c r="V58" i="1" s="1"/>
  <c r="U80" i="1"/>
  <c r="V80" i="1" s="1"/>
  <c r="U3" i="1"/>
  <c r="V3" i="1" s="1"/>
  <c r="Q32" i="1"/>
  <c r="S56" i="1"/>
  <c r="T56" i="1" s="1"/>
  <c r="Q31" i="1"/>
  <c r="S32" i="1"/>
  <c r="T32" i="1" s="1"/>
  <c r="S81" i="1"/>
  <c r="T81" i="1" s="1"/>
  <c r="S72" i="1"/>
  <c r="T72" i="1" s="1"/>
  <c r="U64" i="1"/>
  <c r="V64" i="1" s="1"/>
  <c r="Q47" i="1"/>
  <c r="S68" i="1"/>
  <c r="T68" i="1" s="1"/>
  <c r="Q34" i="1"/>
  <c r="Q44" i="1"/>
  <c r="U68" i="1"/>
  <c r="V68" i="1" s="1"/>
  <c r="S79" i="1"/>
  <c r="T79" i="1" s="1"/>
  <c r="S83" i="1"/>
  <c r="T83" i="1" s="1"/>
  <c r="S9" i="1"/>
  <c r="T9" i="1" s="1"/>
  <c r="Q82" i="1"/>
  <c r="S35" i="1"/>
  <c r="T35" i="1" s="1"/>
  <c r="U81" i="1"/>
  <c r="V81" i="1" s="1"/>
  <c r="Q89" i="1"/>
  <c r="Q9" i="1"/>
  <c r="U86" i="1"/>
  <c r="V86" i="1" s="1"/>
  <c r="Q45" i="1"/>
  <c r="S49" i="1"/>
  <c r="T49" i="1" s="1"/>
  <c r="S54" i="1"/>
  <c r="T54" i="1" s="1"/>
  <c r="U57" i="1"/>
  <c r="V57" i="1" s="1"/>
  <c r="U77" i="1"/>
  <c r="V77" i="1" s="1"/>
  <c r="U79" i="1"/>
  <c r="V79" i="1" s="1"/>
  <c r="Q83" i="1"/>
  <c r="S34" i="1"/>
  <c r="T34" i="1" s="1"/>
  <c r="S5" i="1"/>
  <c r="T5" i="1" s="1"/>
  <c r="U70" i="1"/>
  <c r="V70" i="1" s="1"/>
  <c r="Q29" i="1"/>
  <c r="S14" i="1"/>
  <c r="T14" i="1" s="1"/>
  <c r="S29" i="1"/>
  <c r="T29" i="1" s="1"/>
  <c r="S16" i="1"/>
  <c r="T16" i="1" s="1"/>
  <c r="Q41" i="1"/>
  <c r="S18" i="1"/>
  <c r="T18" i="1" s="1"/>
  <c r="U35" i="1"/>
  <c r="V35" i="1" s="1"/>
  <c r="S55" i="1"/>
  <c r="T55" i="1" s="1"/>
  <c r="Q57" i="1"/>
  <c r="Q75" i="1"/>
  <c r="S90" i="1"/>
  <c r="T90" i="1" s="1"/>
  <c r="U55" i="1"/>
  <c r="V55" i="1" s="1"/>
  <c r="S89" i="1"/>
  <c r="T89" i="1" s="1"/>
  <c r="Q8" i="1"/>
  <c r="Q18" i="1"/>
  <c r="U45" i="1"/>
  <c r="V45" i="1" s="1"/>
  <c r="U59" i="1"/>
  <c r="V59" i="1" s="1"/>
  <c r="S8" i="1"/>
  <c r="T8" i="1" s="1"/>
  <c r="U19" i="1"/>
  <c r="V19" i="1" s="1"/>
  <c r="U22" i="1"/>
  <c r="V22" i="1" s="1"/>
  <c r="Q58" i="1"/>
  <c r="Q76" i="1"/>
  <c r="Q78" i="1"/>
  <c r="S91" i="1"/>
  <c r="T91" i="1" s="1"/>
  <c r="S95" i="1"/>
  <c r="T95" i="1" s="1"/>
  <c r="S13" i="1"/>
  <c r="T13" i="1" s="1"/>
  <c r="S69" i="1"/>
  <c r="T69" i="1" s="1"/>
  <c r="Q15" i="1"/>
  <c r="Q77" i="1"/>
  <c r="U30" i="1"/>
  <c r="V30" i="1" s="1"/>
  <c r="Q30" i="1"/>
  <c r="S22" i="1"/>
  <c r="T22" i="1" s="1"/>
  <c r="S98" i="1"/>
  <c r="T98" i="1" s="1"/>
  <c r="U88" i="1"/>
  <c r="V88" i="1" s="1"/>
  <c r="U63" i="1"/>
  <c r="V63" i="1" s="1"/>
  <c r="U40" i="1"/>
  <c r="V40" i="1" s="1"/>
  <c r="Q93" i="1"/>
  <c r="Q86" i="1"/>
  <c r="Q21" i="1"/>
  <c r="Q19" i="1"/>
  <c r="S62" i="1"/>
  <c r="T62" i="1" s="1"/>
  <c r="U26" i="1"/>
  <c r="V26" i="1" s="1"/>
  <c r="S52" i="1"/>
  <c r="T52" i="1" s="1"/>
  <c r="S31" i="1"/>
  <c r="T31" i="1" s="1"/>
  <c r="U5" i="1"/>
  <c r="V5" i="1" s="1"/>
  <c r="S15" i="1"/>
  <c r="T15" i="1" s="1"/>
  <c r="Q24" i="1"/>
  <c r="U44" i="1"/>
  <c r="V44" i="1" s="1"/>
  <c r="Q53" i="1"/>
  <c r="Q66" i="1"/>
  <c r="U75" i="1"/>
  <c r="V75" i="1" s="1"/>
  <c r="U76" i="1"/>
  <c r="V76" i="1" s="1"/>
  <c r="U96" i="1"/>
  <c r="V96" i="1" s="1"/>
  <c r="O103" i="1"/>
  <c r="Q103" i="1" s="1"/>
  <c r="Q74" i="1"/>
  <c r="S25" i="1"/>
  <c r="T25" i="1" s="1"/>
  <c r="S51" i="1"/>
  <c r="T51" i="1" s="1"/>
  <c r="U36" i="1"/>
  <c r="V36" i="1" s="1"/>
  <c r="Q60" i="1"/>
  <c r="Q40" i="1"/>
  <c r="U74" i="1"/>
  <c r="V74" i="1" s="1"/>
  <c r="S37" i="1"/>
  <c r="T37" i="1" s="1"/>
  <c r="U53" i="1"/>
  <c r="V53" i="1" s="1"/>
  <c r="Q62" i="1"/>
  <c r="Q26" i="1"/>
  <c r="U51" i="1"/>
  <c r="V51" i="1" s="1"/>
  <c r="Q69" i="1"/>
  <c r="U14" i="1"/>
  <c r="V14" i="1" s="1"/>
  <c r="Q23" i="1"/>
  <c r="U25" i="1"/>
  <c r="V25" i="1" s="1"/>
  <c r="Q33" i="1"/>
  <c r="S36" i="1"/>
  <c r="T36" i="1" s="1"/>
  <c r="U37" i="1"/>
  <c r="V37" i="1" s="1"/>
  <c r="U39" i="1"/>
  <c r="V39" i="1" s="1"/>
  <c r="Q50" i="1"/>
  <c r="Q65" i="1"/>
  <c r="S66" i="1"/>
  <c r="T66" i="1" s="1"/>
  <c r="S88" i="1"/>
  <c r="T88" i="1" s="1"/>
  <c r="Q91" i="1"/>
  <c r="S94" i="1"/>
  <c r="T94" i="1" s="1"/>
  <c r="Q98" i="1"/>
  <c r="S67" i="1"/>
  <c r="T67" i="1" s="1"/>
  <c r="S60" i="1"/>
  <c r="T60" i="1" s="1"/>
  <c r="U47" i="1"/>
  <c r="V47" i="1" s="1"/>
  <c r="U4" i="1"/>
  <c r="V4" i="1" s="1"/>
  <c r="U48" i="1"/>
  <c r="V48" i="1" s="1"/>
  <c r="S23" i="1"/>
  <c r="T23" i="1" s="1"/>
  <c r="S33" i="1"/>
  <c r="T33" i="1" s="1"/>
  <c r="Q39" i="1"/>
  <c r="S50" i="1"/>
  <c r="T50" i="1" s="1"/>
  <c r="S65" i="1"/>
  <c r="T65" i="1" s="1"/>
  <c r="S93" i="1"/>
  <c r="T93" i="1" s="1"/>
  <c r="S24" i="1"/>
  <c r="T24" i="1" s="1"/>
  <c r="O104" i="1"/>
  <c r="Q104" i="1" s="1"/>
  <c r="U67" i="1"/>
  <c r="V67" i="1" s="1"/>
  <c r="Q94" i="1"/>
  <c r="S4" i="1"/>
  <c r="T4" i="1" s="1"/>
  <c r="U21" i="1"/>
  <c r="V21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tc={8B155358-CD51-408A-8D30-9A52BD99E443}</author>
    <author>Giannino Martin</author>
  </authors>
  <commentList>
    <comment ref="G17" authorId="0" shapeId="0" xr:uid="{8B155358-CD51-408A-8D30-9A52BD99E443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Données modifiées par SMES le 26/02 car erreur d'Ernani dans le P90 (ancien valeur 51 000/ nouvelle valeur 59 000)</t>
      </text>
    </comment>
    <comment ref="I21" authorId="1" shapeId="0" xr:uid="{8AB6888B-1594-4A91-B1CD-5ACC4D90A8A2}">
      <text>
        <r>
          <rPr>
            <b/>
            <sz val="9"/>
            <color indexed="81"/>
            <rFont val="Tahoma"/>
            <family val="2"/>
          </rPr>
          <t>2ème round BGT, amelioration 1%</t>
        </r>
      </text>
    </comment>
    <comment ref="I22" authorId="1" shapeId="0" xr:uid="{D57E4851-0A4C-4C8C-B35D-ABED54F7F9E4}">
      <text>
        <r>
          <rPr>
            <b/>
            <sz val="9"/>
            <color indexed="81"/>
            <rFont val="Tahoma"/>
            <family val="2"/>
          </rPr>
          <t>2ème round BGT, amelioration 1%</t>
        </r>
      </text>
    </comment>
    <comment ref="I23" authorId="1" shapeId="0" xr:uid="{2B84022A-ACAE-488F-9FAB-F6259CB1D0A6}">
      <text>
        <r>
          <rPr>
            <b/>
            <sz val="9"/>
            <color indexed="81"/>
            <rFont val="Tahoma"/>
            <family val="2"/>
          </rPr>
          <t>2ème round BGT, amelioration 1%</t>
        </r>
      </text>
    </comment>
    <comment ref="I24" authorId="1" shapeId="0" xr:uid="{F514B16C-8008-4A0D-A6B3-1E503FA57958}">
      <text>
        <r>
          <rPr>
            <b/>
            <sz val="9"/>
            <color indexed="81"/>
            <rFont val="Tahoma"/>
            <family val="2"/>
          </rPr>
          <t>2ème round BGT, amelioration 1%</t>
        </r>
      </text>
    </comment>
    <comment ref="I30" authorId="1" shapeId="0" xr:uid="{13490A76-D33E-4B3B-A11D-FE803E12814B}">
      <text>
        <r>
          <rPr>
            <b/>
            <sz val="9"/>
            <color indexed="81"/>
            <rFont val="Tahoma"/>
            <family val="2"/>
          </rPr>
          <t>2ème round BGT, amelioration 0,3%</t>
        </r>
      </text>
    </comment>
    <comment ref="I31" authorId="1" shapeId="0" xr:uid="{087D853E-2D97-4E0C-8C43-73C5D20E0558}">
      <text>
        <r>
          <rPr>
            <b/>
            <sz val="9"/>
            <color indexed="81"/>
            <rFont val="Tahoma"/>
            <family val="2"/>
          </rPr>
          <t>2ème round BGT, amelioration 0,3%</t>
        </r>
      </text>
    </comment>
    <comment ref="I32" authorId="1" shapeId="0" xr:uid="{C42339E4-D701-442E-8976-B3B953535E94}">
      <text>
        <r>
          <rPr>
            <b/>
            <sz val="9"/>
            <color indexed="81"/>
            <rFont val="Tahoma"/>
            <family val="2"/>
          </rPr>
          <t>2ème round BGT, amelioration 0,3%</t>
        </r>
      </text>
    </comment>
    <comment ref="I33" authorId="1" shapeId="0" xr:uid="{E18DB7A9-2B12-446D-9844-38AF8A3479CB}">
      <text>
        <r>
          <rPr>
            <b/>
            <sz val="9"/>
            <color indexed="81"/>
            <rFont val="Tahoma"/>
            <family val="2"/>
          </rPr>
          <t>2ème round BGT, amelioration 0,3%</t>
        </r>
      </text>
    </comment>
    <comment ref="I38" authorId="1" shapeId="0" xr:uid="{2B4394D0-39B6-4D29-8331-DE4EE7110FC7}">
      <text>
        <r>
          <rPr>
            <b/>
            <sz val="9"/>
            <color indexed="81"/>
            <rFont val="Tahoma"/>
            <family val="2"/>
          </rPr>
          <t>2ème round BGT, amelioration 0,5%</t>
        </r>
      </text>
    </comment>
    <comment ref="I39" authorId="1" shapeId="0" xr:uid="{9DC0314C-8352-463D-A8DA-330B275F7A9B}">
      <text>
        <r>
          <rPr>
            <b/>
            <sz val="9"/>
            <color indexed="81"/>
            <rFont val="Tahoma"/>
            <family val="2"/>
          </rPr>
          <t>2ème round BGT, amelioration 0,5%</t>
        </r>
      </text>
    </comment>
    <comment ref="N63" authorId="1" shapeId="0" xr:uid="{E5812BC6-B576-4A2F-81FB-1D5060BF8CE1}">
      <text>
        <r>
          <rPr>
            <b/>
            <sz val="9"/>
            <color indexed="81"/>
            <rFont val="Tahoma"/>
            <family val="2"/>
          </rPr>
          <t>PPO (0,5%) + amelioration Yaw (0,1%) + AUG. P (même sans debridage) 1.0%</t>
        </r>
      </text>
    </comment>
    <comment ref="N90" authorId="1" shapeId="0" xr:uid="{032EFBBF-CF2E-461A-AF87-9A4FC58C309F}">
      <text>
        <r>
          <rPr>
            <b/>
            <sz val="9"/>
            <color indexed="81"/>
            <rFont val="Tahoma"/>
            <family val="2"/>
          </rPr>
          <t>L'amelioration passe à 1,0% grace à l'AUG P.  sans bridage, ni au WTG ni au PDL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tc={1E04A319-44BF-4863-AAC6-5EC50698962C}</author>
    <author>tc={3631B8D2-3B09-4703-8A92-30634A91E081}</author>
    <author>tc={08EEA53C-5AE0-4BD1-BAB7-025C4C7D03A0}</author>
    <author>tc={B3BB69E6-1DD9-46BD-9B15-8FB5F8CCBEC7}</author>
    <author>tc={DAD76CB7-D968-4B87-B8CE-0F673D56BA36}</author>
    <author>tc={FCDE5E26-924F-4505-81F6-40AF6F1E217E}</author>
    <author>tc={843419C5-C215-4AA9-BA4A-5B7428E86A1C}</author>
    <author>tc={DCE7885D-2C18-49C0-9206-B2291A54196A}</author>
    <author>tc={1B0324FE-95A5-404D-AB22-2CBE78D4DCE3}</author>
    <author>tc={DE5347D1-2541-4A21-9BA9-3C082D40E099}</author>
    <author>tc={84D1DF42-630F-43BE-B283-7BBB3A006D1F}</author>
    <author>tc={4DF60E67-CCD9-4907-9587-C4426534347E}</author>
    <author>tc={11E61536-A306-4DBF-A67A-7C018AF41F21}</author>
    <author>Giannino Martin</author>
    <author>tc={47BAD99A-DC45-49F4-8B21-B9634D336042}</author>
    <author>tc={150860B3-1F0A-4A85-811D-3C784E0362F8}</author>
    <author>tc={1974E689-2A87-4CFA-B47F-DA087CBC3BF7}</author>
    <author>tc={405CA549-4465-4364-BF5E-412DDBE27703}</author>
    <author>tc={0FF3BD03-943E-47D4-9E92-3E2CB3D1D2F9}</author>
    <author>tc={549B03F9-4F66-4EF5-8CBA-46B0FA59E985}</author>
    <author>tc={0D7318D9-047D-4FCA-AE86-7CA211CC55BA}</author>
    <author>tc={08AABD10-089E-4C61-916B-C0E3B5F1CF62}</author>
    <author>tc={ED35231F-E0C4-4055-A80B-297F616A7710}</author>
    <author>tc={A69015CA-0AB4-4018-90F3-F261FBF5D880}</author>
    <author>tc={82225E43-7A77-4467-A16D-1D7D20A6B4AE}</author>
    <author>tc={CCD3B0F7-1341-4B3C-81CA-769E5CF43311}</author>
    <author>tc={FA19B896-8AA4-4E6F-BC74-EEDA08D9974C}</author>
    <author>tc={6548A17E-69FD-452C-88BE-16A5DC49F4D5}</author>
    <author>tc={C4974EA9-4483-4574-AB3F-53BA381338DB}</author>
    <author>tc={9D898354-6517-4282-89C5-54BA925D4441}</author>
    <author>tc={9B6E3220-37D2-423F-A636-EA947B0F1CE1}</author>
    <author>tc={44C485DE-312A-40FF-9BA2-0D534902C886}</author>
    <author>tc={E52B6F2C-3B06-49BD-B245-8ECF306B181B}</author>
    <author>tc={E427E167-FB86-486D-9508-B711E0EB6DC5}</author>
    <author>tc={F27B322C-6575-4ADF-A2CC-6F6A6B7B01D6}</author>
    <author>tc={B80FB967-670F-4965-A563-6DF55DFB4F45}</author>
    <author>tc={65F604B9-C5BA-4312-8D4D-E02BCC8DB2EB}</author>
    <author>tc={6F2AE4C6-6777-4CD5-96D4-6FB8043D5C3D}</author>
    <author>tc={B92E0D4B-D0EF-44D3-A9A3-02B2F1B079A5}</author>
    <author>tc={B713631C-7CF6-4026-AB7C-9B2BC5554A3F}</author>
    <author>tc={11B62413-A1D0-4E50-B3C5-D5D6BAFC83A1}</author>
    <author>tc={03E0761F-8A86-4EA7-8385-8C92E99105E0}</author>
    <author>tc={D8D9D43E-35B8-4917-B8B4-59E2D07AF739}</author>
    <author>tc={C73B1E74-F40C-4DF5-AF0D-3BE0656D2DAB}</author>
    <author>tc={D23508B3-3FD3-4E12-A686-5006FFD5F325}</author>
    <author>tc={B6C9ACB4-7B1D-483E-B78F-937DF3CFED5E}</author>
    <author>tc={D58EB265-7ADD-442B-960E-CFD5F63C989F}</author>
    <author>tc={F3458C50-9F14-4766-B8D2-522501A73BD6}</author>
    <author>tc={1F917D20-A12B-45CE-BDD9-E08EF04A11C0}</author>
    <author>tc={4CBA04D2-C62F-4548-A4AE-3D138E0E60C6}</author>
    <author>tc={233CAC72-A7D3-4CDF-AD5C-1C4F211A8653}</author>
    <author>tc={BE2E31F0-C43B-43DF-A4F5-A9D0F744F522}</author>
    <author>tc={47E20295-3DC8-46F6-9B86-A52AAF8ACA62}</author>
    <author>tc={D7FE0FCA-C439-4D07-B1F9-9412F70EF36F}</author>
    <author>tc={A050633B-C70F-49C7-A0E7-C2C9B8013652}</author>
    <author>tc={99A285CF-3368-4357-B1C2-55B6C5BE0CA9}</author>
    <author>tc={129AE090-624D-4D0F-B1A9-EA6F7C56E017}</author>
    <author>tc={D532A3FC-296E-49DA-B1E2-09BC081B7EFD}</author>
    <author>tc={7516807E-1292-4887-AA4D-A95EE7A36151}</author>
    <author>tc={A1955C50-CF83-4716-8559-3D746F7AFA8B}</author>
    <author>tc={DA0D7BB1-D483-43BD-85FA-0C8D902019D3}</author>
    <author>tc={4834050F-6D52-4CAF-ADC8-7EF5AE69767B}</author>
    <author>tc={C5DD799A-E55D-4630-88CA-A74913CEF07B}</author>
    <author>tc={F14122BD-EF7F-4C8D-B5B3-49DBE7BB7A17}</author>
    <author>tc={96B9D1FD-4FF8-490C-9180-4969BBFC0C98}</author>
    <author>tc={464B573A-51F9-45E2-9C53-B4856C335966}</author>
    <author>tc={AE57E89B-3D59-4535-98B9-A05EFE65B1FE}</author>
    <author>tc={99D9A66C-D9C9-4653-91B3-26AB8598C5C3}</author>
    <author>tc={8DFAD5B7-C8A8-4F6E-B299-68D073D2E18E}</author>
    <author>tc={0C65A4A3-9978-4499-B5DD-86E6D207FFA6}</author>
    <author>tc={72E24230-4757-4F8A-BE6E-F83C6CF7A765}</author>
    <author>tc={B0D4016B-2FFB-4246-AD8B-773DE22C7847}</author>
    <author>tc={BAE5A477-C6E0-49D6-ADE1-36ECF2A9C938}</author>
    <author>tc={28BE6086-43EA-4378-BDAA-38A61DE313DE}</author>
    <author>tc={46FB61A4-6C32-4605-8BF1-D6F6546F2F44}</author>
    <author>tc={7CE9837D-13E7-44E7-B5FC-3484C95821E6}</author>
    <author>tc={76A02C8C-82A5-4429-8F02-6A1EB14CD268}</author>
    <author>tc={D077FA5E-8589-4938-BB55-95ED254A2C3B}</author>
    <author>tc={C6DBE773-E738-4CB2-A6B3-F820FA165DB4}</author>
    <author>tc={A0789851-F041-42C1-ACF9-8BE2A5A931E9}</author>
    <author>tc={5D570288-B747-4D36-A865-4E27306B0A0F}</author>
    <author>tc={4DBC1692-28B3-4DB1-83F7-FDA7EADDA3B0}</author>
    <author>tc={D85E9684-7B36-471D-86F6-04EDCF6A5ABC}</author>
    <author>tc={C14823D6-4DBD-4E63-B10A-92A0CCC75125}</author>
    <author>tc={BA0BB2BF-4A28-40DC-8BBA-EC7B4E7ECCEC}</author>
    <author>tc={309992E7-9895-44F2-84B4-EA392BDCD552}</author>
    <author>tc={9F38CC77-5075-4921-80BA-00EBEBDD3A60}</author>
    <author>tc={B90D67D5-B6E0-40EE-AF42-4C8DB96B9AAD}</author>
    <author>tc={E2496F35-043F-4F6C-AE75-1FDEFE8F9808}</author>
    <author>tc={4B0C930D-0C4A-4939-AA77-F2AB5FF730FA}</author>
    <author>tc={3DD88F28-6D85-4335-BD57-FE67ED0442B2}</author>
    <author>tc={EA1EAE9F-ACA3-48A5-99D8-CB8806B1966E}</author>
    <author>tc={8690DE8B-8131-4E62-B21B-9AF0DF4F6A87}</author>
    <author>tc={5D6909E6-7863-4D17-9ED9-A20CCAEA9BED}</author>
    <author>tc={6FC0469E-1157-488E-A229-55A5E0ED6749}</author>
    <author>tc={82BDB3FB-6895-4C38-B0A5-057C922EAA33}</author>
    <author>tc={A4D8C1EA-0C7C-486F-9849-36DDCB0BF710}</author>
    <author>tc={5A12B8FB-9F25-4011-8CA0-ACE0514BBB08}</author>
    <author>tc={0F0FD7E0-5CE6-4689-BD1D-5E247163AEBE}</author>
    <author>tc={C7FBBB2D-06CB-4DBF-9B94-407BC2E9AA0B}</author>
    <author>tc={2F808422-7DD5-4596-8C4B-33BCA44035D9}</author>
    <author>tc={5CA33234-4676-4C73-B2A5-108F2179F010}</author>
    <author>tc={96A934A2-C6F3-4761-A75A-8D9FDF06B83D}</author>
    <author>tc={68E65F71-A7D5-40A2-94B7-55D5EFD11B97}</author>
    <author>tc={588761E5-B237-48BA-A529-0F91819E7608}</author>
    <author>tc={41A14851-36F3-4891-A454-AD98CBBAE804}</author>
    <author>tc={0701AD77-DDDF-49CD-9B68-8C0B7467F8CA}</author>
    <author>tc={58C0DFCC-AEC6-41E8-A3F3-20F913E90264}</author>
    <author>tc={96E805A1-5EED-4497-9C2D-70440D1A53B3}</author>
    <author>tc={5C99313E-906D-4D23-A9D5-F6A343587476}</author>
    <author>tc={432056F7-B6AD-4BC2-B33E-3EAC5C44FB53}</author>
    <author>tc={C40634DF-3995-4FE5-97CD-85DE349006FF}</author>
    <author>tc={FC6DEA03-6B07-4A46-8794-233786A08B38}</author>
    <author>tc={46393E25-62CE-4E52-AB03-D47DD505E02F}</author>
    <author>tc={AEECB9E9-5A5E-4787-96BD-3F086B7D14B2}</author>
    <author>tc={F12B75C8-697E-4570-B6D7-42E250D4C972}</author>
    <author>tc={ECB42A86-88E3-4152-8DF4-D837A94C88BA}</author>
    <author>tc={31DE89CC-89C4-4EF2-8F2F-E16F2D056B2F}</author>
    <author>tc={BE3B1C59-AF3D-4183-B7D9-0B3DA8A2926C}</author>
    <author>tc={ACB44E2A-6AEF-4C56-8E14-411384F7822B}</author>
    <author>tc={440A55E0-28E3-4826-988D-46626B509F9C}</author>
    <author>tc={70AC1666-2B4C-453E-860F-A31284C5C64D}</author>
    <author>tc={E8D9D09D-6662-4ECA-A042-D3FBA4098C6A}</author>
    <author>tc={4215F66A-CE74-4134-BFD5-BE6E380F9AF6}</author>
    <author>tc={2CB5D53D-AEF0-4635-8179-4B2C2DE0AC8E}</author>
    <author>tc={16FDC6D7-D2B2-43B2-852B-09092FBD5E73}</author>
    <author>tc={B6BE27EC-8934-4320-A0A7-E28977EDC4E9}</author>
    <author>tc={E3619D6B-27EB-4325-9ADE-95633E66E86F}</author>
    <author>tc={315D0720-3B8B-44A4-8147-1FB1DA9B447F}</author>
    <author>tc={981EBB18-EF7D-484E-9D11-B31EDEA94C7B}</author>
    <author>tc={89CCCB81-BA23-4268-B47D-7987D250C7DB}</author>
    <author>tc={1D9FAF66-7331-4DF5-8416-C629067CEB39}</author>
    <author>tc={D5F05DF7-E3C1-4377-98DF-CF89D19E0C44}</author>
    <author>tc={3399ED63-36DA-4CBE-AEE6-13106BB7BBA6}</author>
    <author>tc={689591D6-FBF7-43E8-89F7-0444E4536B96}</author>
    <author>tc={47927DC7-57A4-4145-BE46-248406F64F34}</author>
    <author>tc={F0053DFC-6129-453A-A38F-4C6668E05A9D}</author>
    <author>tc={9E06223F-DEBE-4FB7-B969-261781821A81}</author>
    <author>tc={406FF138-E2FE-4C01-AC1A-0DEB6592F6AF}</author>
    <author>tc={031AFD5A-772A-467D-9429-A35287E89382}</author>
    <author>tc={CA384558-A929-418C-A56D-DF929B760C8B}</author>
    <author>tc={567F2E7C-74C4-44ED-9A98-B2CAAA4B9883}</author>
    <author>tc={9C1ADBB7-729A-4754-B412-9F25653B3697}</author>
    <author>tc={878244B9-0BF6-49C3-B7BD-467353AA9BC6}</author>
    <author>tc={249E1641-2CE4-4727-A0EA-5F3C735E3FB1}</author>
    <author>tc={15908A28-E8BA-4CF3-904E-F682FDC9576A}</author>
    <author>tc={83E20746-2158-4236-A68D-BD88EE5F51BB}</author>
    <author>tc={0F94A13E-6DD3-4416-A263-9810FEAF4C83}</author>
    <author>tc={C46BE433-8CCB-4E3C-B7DA-448A6372091D}</author>
    <author>tc={3DFC55DF-558D-47A1-8D23-6285982D5466}</author>
    <author>tc={D5C41785-E8B2-4AC2-87E8-5A94962B237E}</author>
    <author>tc={175A076F-F1CA-49A9-9FD9-85A00E6D5FCE}</author>
    <author>tc={A1640C78-2F2C-42E9-A312-5988DAA7D004}</author>
    <author>tc={B50D5456-A033-4441-BDF8-9AA2317A1197}</author>
    <author>tc={B93E321F-8788-434A-BC2F-0A03A00EFEE9}</author>
    <author>tc={322B2CFE-8F49-4A79-A759-8EC1DBC180EE}</author>
    <author>tc={C1D0BAF9-A167-4173-81A8-FABB1D869FA3}</author>
    <author>tc={DAC421A1-01BD-456B-9921-5B3454BD59C5}</author>
    <author>tc={85AD0517-4D70-4710-B39A-2CC9F789B70A}</author>
    <author>tc={F02263D2-B67D-488B-A160-9298AD236844}</author>
  </authors>
  <commentList>
    <comment ref="N7" authorId="0" shapeId="0" xr:uid="{1E04A319-44BF-4863-AAC6-5EC50698962C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inhérent au calcul</t>
      </text>
    </comment>
    <comment ref="Q7" authorId="1" shapeId="0" xr:uid="{3631B8D2-3B09-4703-8A92-30634A91E081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on cherche à faire de la mise en drapeau sur les GE pour 2022. pas d'estimation à ce jour. pas sûr que techniquement, cela soit possible de faire de la mise en drapeau sur ces anciennes machines.</t>
      </text>
    </comment>
    <comment ref="N8" authorId="2" shapeId="0" xr:uid="{08EEA53C-5AE0-4BD1-BAB7-025C4C7D03A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inhérent au calcul</t>
      </text>
    </comment>
    <comment ref="Q8" authorId="3" shapeId="0" xr:uid="{B3BB69E6-1DD9-46BD-9B15-8FB5F8CCBEC7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on cherche à faire de la mise en drapeau sur les GE pour 2022. pas d'estimation à ce jour. pas sûr que techniquement, cela soit possible de faire de la mise en drapeau sur ces anciennes machines.</t>
      </text>
    </comment>
    <comment ref="N9" authorId="4" shapeId="0" xr:uid="{DAD76CB7-D968-4B87-B8CE-0F673D56BA36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inhérent au calcul</t>
      </text>
    </comment>
    <comment ref="Q9" authorId="5" shapeId="0" xr:uid="{FCDE5E26-924F-4505-81F6-40AF6F1E217E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on cherche à faire de la mise en drapeau sur les GE pour 2022. pas d'estimation à ce jour. pas sûr que techniquement, cela soit possible de faire de la mise en drapeau sur ces anciennes machines.</t>
      </text>
    </comment>
    <comment ref="N10" authorId="6" shapeId="0" xr:uid="{843419C5-C215-4AA9-BA4A-5B7428E86A1C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inhérent au calcul</t>
      </text>
    </comment>
    <comment ref="Q10" authorId="7" shapeId="0" xr:uid="{DCE7885D-2C18-49C0-9206-B2291A54196A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on cherche à faire de la mise en drapeau sur les GE pour 2022. pas d'estimation à ce jour. pas sûr que techniquement, cela soit possible de faire de la mise en drapeau sur ces anciennes machines.</t>
      </text>
    </comment>
    <comment ref="N13" authorId="8" shapeId="0" xr:uid="{1B0324FE-95A5-404D-AB22-2CBE78D4DCE3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calcul des plans de bridages en cours sur les 2 directions (mesures en réception post-implantation terminées au printemps 2021).</t>
      </text>
    </comment>
    <comment ref="Q13" authorId="9" shapeId="0" xr:uid="{DE5347D1-2541-4A21-9BA9-3C082D40E099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bridage chiro possible en 2022 (on attend les résultats des suivis chiro sur Cham Longe 1 &amp; 2)</t>
      </text>
    </comment>
    <comment ref="Q17" authorId="10" shapeId="0" xr:uid="{84D1DF42-630F-43BE-B283-7BBB3A006D1F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bridage maison en 1/10ième de nuit activé depuis le 31/05/2021. estimation à 0,18% sur la totalité des parcs de Ronchois</t>
      </text>
    </comment>
    <comment ref="Q18" authorId="11" shapeId="0" xr:uid="{4DF60E67-CCD9-4907-9587-C4426534347E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bridage maison en 1/10ième de nuit activé depuis le 31/05/2021. estimation à 0,18% sur la totalité des parcs de Ronchois</t>
      </text>
    </comment>
    <comment ref="Q19" authorId="12" shapeId="0" xr:uid="{11E61536-A306-4DBF-A67A-7C018AF41F21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bridage maison en 1/10ième de nuit activé depuis le 31/05/2021. estimation à 0,18% sur la totalité des parcs de Ronchois</t>
      </text>
    </comment>
    <comment ref="J21" authorId="13" shapeId="0" xr:uid="{677F952C-A315-46E8-932D-BEF73B569E20}">
      <text>
        <r>
          <rPr>
            <b/>
            <sz val="9"/>
            <color indexed="81"/>
            <rFont val="Tahoma"/>
            <family val="2"/>
          </rPr>
          <t>2ème round BGT, amelioration 1%</t>
        </r>
      </text>
    </comment>
    <comment ref="J22" authorId="13" shapeId="0" xr:uid="{9C8044A8-3814-4ED3-A77D-DEAF1E24999C}">
      <text>
        <r>
          <rPr>
            <b/>
            <sz val="9"/>
            <color indexed="81"/>
            <rFont val="Tahoma"/>
            <family val="2"/>
          </rPr>
          <t>2ème round BGT, amelioration 1%</t>
        </r>
      </text>
    </comment>
    <comment ref="J23" authorId="13" shapeId="0" xr:uid="{218F6334-2CA8-43D2-8A73-190CAAE695F8}">
      <text>
        <r>
          <rPr>
            <b/>
            <sz val="9"/>
            <color indexed="81"/>
            <rFont val="Tahoma"/>
            <family val="2"/>
          </rPr>
          <t>2ème round BGT, amelioration 1%</t>
        </r>
      </text>
    </comment>
    <comment ref="J24" authorId="13" shapeId="0" xr:uid="{BF8789D9-D9C4-4566-870F-2AE8D020A1E9}">
      <text>
        <r>
          <rPr>
            <b/>
            <sz val="9"/>
            <color indexed="81"/>
            <rFont val="Tahoma"/>
            <family val="2"/>
          </rPr>
          <t>2ème round BGT, amelioration 1%</t>
        </r>
      </text>
    </comment>
    <comment ref="N26" authorId="14" shapeId="0" xr:uid="{47BAD99A-DC45-49F4-8B21-B9634D336042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Il y a un leger écart entre DNV qui donne 1,47% en totale (acoustique + chiro), alors que le fichier CDC donne 0,1% en aoustique et 1,26 en chiro.
Réponse :
    je confirme estimation BLX global=1,36% (0,1% acoustique+1,26% chiro). attention, le fichier CDC présentait 2 scénarios de bridage chiro : actuel et futur. le scénario futur est en fait l'actuel (depuis le 01/07/2021). j'ai mis à jour le fichier CDC afin d'éviter les erreur.</t>
      </text>
    </comment>
    <comment ref="O26" authorId="15" shapeId="0" xr:uid="{150860B3-1F0A-4A85-811D-3C784E0362F8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Inclus dans le bridage acoustique</t>
      </text>
    </comment>
    <comment ref="Q26" authorId="16" shapeId="0" xr:uid="{1974E689-2A87-4CFA-B47F-DA087CBC3BF7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Repartition sur le Chiro faite sur la base du fichier CDC, car les chiffres sont cohèrentes.</t>
      </text>
    </comment>
    <comment ref="N27" authorId="17" shapeId="0" xr:uid="{405CA549-4465-4364-BF5E-412DDBE27703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Il y a un leger écart entre DNV qui donne 1,47% en totale (acoustique + chiro), alors que le fichier CDC donne 0,1% en aoustique et 1,26 en chiro.
Réponse :
    je confirme estimation BLX global=1,36% (0,1% acoustique+1,26% chiro). attention, le fichier CDC présentait 2 scénarios de bridage chiro : actuel et futur. le scénario futur est en fait l'actuel (depuis le 01/07/2021). j'ai mis à jour le fichier CDC afin d'éviter les erreur.</t>
      </text>
    </comment>
    <comment ref="Q27" authorId="18" shapeId="0" xr:uid="{0FF3BD03-943E-47D4-9E92-3E2CB3D1D2F9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Repartition sur le Chiro faite sur la base du fichier CDC, car les chiffres sont cohèrentes.</t>
      </text>
    </comment>
    <comment ref="N28" authorId="19" shapeId="0" xr:uid="{549B03F9-4F66-4EF5-8CBA-46B0FA59E985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Il y a un leger écart entre DNV qui donne 1,47% en totale (acoustique + chiro), alors que le fichier CDC donne 0,1% en aoustique et 1,26 en chiro.
Réponse :
    je confirme estimation BLX global=1,36% (0,1% acoustique+1,26% chiro). attention, le fichier CDC présentait 2 scénarios de bridage chiro : actuel et futur. le scénario futur est en fait l'actuel (depuis le 01/07/2021). j'ai mis à jour le fichier CDC afin d'éviter les erreur.</t>
      </text>
    </comment>
    <comment ref="Q28" authorId="20" shapeId="0" xr:uid="{0D7318D9-047D-4FCA-AE86-7CA211CC55BA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Repartition sur le Chiro faite sur la base du fichier CDC, car les chiffres sont cohèrentes.</t>
      </text>
    </comment>
    <comment ref="N29" authorId="21" shapeId="0" xr:uid="{08AABD10-089E-4C61-916B-C0E3B5F1CF62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Il y a un leger écart entre DNV qui donne 1,47% en totale (acoustique + chiro), alors que le fichier CDC donne 0,1% en aoustique et 1,26 en chiro.
Réponse :
    je confirme estimation BLX global=1,36% (0,1% acoustique+1,26% chiro). attention, le fichier CDC présentait 2 scénarios de bridage chiro : actuel et futur. le scénario futur est en fait l'actuel (depuis le 01/07/2021). j'ai mis à jour le fichier CDC afin d'éviter les erreur.</t>
      </text>
    </comment>
    <comment ref="Q29" authorId="22" shapeId="0" xr:uid="{ED35231F-E0C4-4055-A80B-297F616A771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Repartition sur le Chiro faite sur la base du fichier CDC, car les chiffres sont cohèrentes.</t>
      </text>
    </comment>
    <comment ref="J30" authorId="13" shapeId="0" xr:uid="{A368EA63-DFC0-4752-84F4-DD945FB16257}">
      <text>
        <r>
          <rPr>
            <b/>
            <sz val="9"/>
            <color indexed="81"/>
            <rFont val="Tahoma"/>
            <family val="2"/>
          </rPr>
          <t>2ème round BGT, amelioration 0,3%</t>
        </r>
      </text>
    </comment>
    <comment ref="N30" authorId="23" shapeId="0" xr:uid="{A69015CA-0AB4-4018-90F3-F261FBF5D88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je ne retrouve pas pourquoi le % de pertes est passé à 1% en 2021. avec le bridage non optimisé, le calcul était de 0.23% par rapport à la prod totale du parc. avec le mode optimisé NRO98,5, le % aurait dû être plus faible. calcul avec le NRO98,5 a retrouvé auprès de KC.</t>
      </text>
    </comment>
    <comment ref="J31" authorId="13" shapeId="0" xr:uid="{48B73693-C3BD-4AB3-B124-210F4896822E}">
      <text>
        <r>
          <rPr>
            <b/>
            <sz val="9"/>
            <color indexed="81"/>
            <rFont val="Tahoma"/>
            <family val="2"/>
          </rPr>
          <t>2ème round BGT, amelioration 0,3%</t>
        </r>
      </text>
    </comment>
    <comment ref="J32" authorId="13" shapeId="0" xr:uid="{D555AA26-CC24-408C-BBA0-CD416E1BD49E}">
      <text>
        <r>
          <rPr>
            <b/>
            <sz val="9"/>
            <color indexed="81"/>
            <rFont val="Tahoma"/>
            <family val="2"/>
          </rPr>
          <t>2ème round BGT, amelioration 0,3%</t>
        </r>
      </text>
    </comment>
    <comment ref="J33" authorId="13" shapeId="0" xr:uid="{9C56EEE8-350E-490B-851E-C8A48BFA3BA4}">
      <text>
        <r>
          <rPr>
            <b/>
            <sz val="9"/>
            <color indexed="81"/>
            <rFont val="Tahoma"/>
            <family val="2"/>
          </rPr>
          <t>2ème round BGT, amelioration 0,3%</t>
        </r>
      </text>
    </comment>
    <comment ref="J38" authorId="13" shapeId="0" xr:uid="{DE6A9441-2123-4E6E-8371-0402AC58326E}">
      <text>
        <r>
          <rPr>
            <b/>
            <sz val="9"/>
            <color indexed="81"/>
            <rFont val="Tahoma"/>
            <family val="2"/>
          </rPr>
          <t>2ème round BGT, amelioration 0,5%</t>
        </r>
      </text>
    </comment>
    <comment ref="K38" authorId="24" shapeId="0" xr:uid="{82225E43-7A77-4467-A16D-1D7D20A6B4AE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réel 95,75% 2020-2021</t>
      </text>
    </comment>
    <comment ref="Q38" authorId="25" shapeId="0" xr:uid="{CCD3B0F7-1341-4B3C-81CA-769E5CF43311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bridage chiro maison activé depuis le 7 mai 2021. % pertes calculés par FR.</t>
      </text>
    </comment>
    <comment ref="J39" authorId="13" shapeId="0" xr:uid="{062DF9FE-1394-448C-907E-993309762626}">
      <text>
        <r>
          <rPr>
            <b/>
            <sz val="9"/>
            <color indexed="81"/>
            <rFont val="Tahoma"/>
            <family val="2"/>
          </rPr>
          <t>2ème round BGT, amelioration 0,5%</t>
        </r>
      </text>
    </comment>
    <comment ref="K39" authorId="26" shapeId="0" xr:uid="{FA19B896-8AA4-4E6F-BC74-EEDA08D9974C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réel 95,75% 2020-2021</t>
      </text>
    </comment>
    <comment ref="Q39" authorId="27" shapeId="0" xr:uid="{6548A17E-69FD-452C-88BE-16A5DC49F4D5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bridage chiro maison activé depuis le 7 mai 2021. % pertes calculés par FR.</t>
      </text>
    </comment>
    <comment ref="K40" authorId="28" shapeId="0" xr:uid="{C4974EA9-4483-4574-AB3F-53BA381338DB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réel 96,85% 2020-2021</t>
      </text>
    </comment>
    <comment ref="K41" authorId="29" shapeId="0" xr:uid="{9D898354-6517-4282-89C5-54BA925D4441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réel 96,85% 2020-2021</t>
      </text>
    </comment>
    <comment ref="K42" authorId="30" shapeId="0" xr:uid="{9B6E3220-37D2-423F-A636-EA947B0F1CE1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réel 96,85% 2020-2021</t>
      </text>
    </comment>
    <comment ref="N43" authorId="31" shapeId="0" xr:uid="{44C485DE-312A-40FF-9BA2-0D534902C886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Valeur assumé historiquement et en ligne avec le fichier des bridages CDC.
Réponse :
    je ne retrouve pas le calcul d'estimation des pertes acoustiques
Réponse :
    rapport DNV du 27/08/2021 établi dans le cadre de la cession confirme :  0,6%</t>
      </text>
    </comment>
    <comment ref="Q43" authorId="32" shapeId="0" xr:uid="{E52B6F2C-3B06-49BD-B245-8ECF306B181B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valeur estimé par Kloé suite à la demande de mise en drapeau à partir de 6 m/s.
Réponse :
    le bridage chiro doit être en place au plus tard au 01 juin 2022 (par APC)</t>
      </text>
    </comment>
    <comment ref="Q44" authorId="33" shapeId="0" xr:uid="{E427E167-FB86-486D-9508-B711E0EB6DC5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bridage Avifaune 2.1% (0,4% Pré+1.7% Post) (KC)+chiro à prévoir 1.9%(APC) (FR). Valeur reprise au Forecast T1 2021.</t>
      </text>
    </comment>
    <comment ref="Q45" authorId="34" shapeId="0" xr:uid="{F27B322C-6575-4ADF-A2CC-6F6A6B7B01D6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bridage Avifaune 2.1% (0,4% Pré+1.7% Post) (KC)+chiro à prévoir 1.9%(APC) (FR). Valeur reprise au Forecast T1 2021.</t>
      </text>
    </comment>
    <comment ref="Q46" authorId="35" shapeId="0" xr:uid="{B80FB967-670F-4965-A563-6DF55DFB4F45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bridage Avifaune 2.1% (0,4% Pré+1.7% Post) (KC)+chiro à prévoir 1.9%(APC) (FR). Valeur reprise au Forecast T1 2021.</t>
      </text>
    </comment>
    <comment ref="K47" authorId="36" shapeId="0" xr:uid="{65F604B9-C5BA-4312-8D4D-E02BCC8DB2EB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réel 95,75% 2020-2021</t>
      </text>
    </comment>
    <comment ref="M48" authorId="37" shapeId="0" xr:uid="{6F2AE4C6-6777-4CD5-96D4-6FB8043D5C3D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calcul à revérifier avec plans de rbidage actuels (Emilie)</t>
      </text>
    </comment>
    <comment ref="Q48" authorId="38" shapeId="0" xr:uid="{B92E0D4B-D0EF-44D3-A9A3-02B2F1B079A5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note : ne prend pas en compte la possible augmentation de la vitesses à 7m/s en juillet et aout. (non encore actée)</t>
      </text>
    </comment>
    <comment ref="Q49" authorId="39" shapeId="0" xr:uid="{B713631C-7CF6-4026-AB7C-9B2BC5554A3F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note : ne prend pas en compte la possible augmentation de la vitesses à 7m/s en juillet et aout. (non encore actée)</t>
      </text>
    </comment>
    <comment ref="Q50" authorId="40" shapeId="0" xr:uid="{11B62413-A1D0-4E50-B3C5-D5D6BAFC83A1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note : ne prend pas en compte la possible augmentation de la vitesses à 7m/s en juillet et aout. (non encore actée)</t>
      </text>
    </comment>
    <comment ref="K51" authorId="41" shapeId="0" xr:uid="{03E0761F-8A86-4EA7-8385-8C92E99105E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cette valeur inclut ~7% de givre.</t>
      </text>
    </comment>
    <comment ref="N51" authorId="42" shapeId="0" xr:uid="{D8D9D43E-35B8-4917-B8B4-59E2D07AF739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Calcul par KC suite plans de bridages post-implantations finalisés (activés en juillet 2021) (voir mail)</t>
      </text>
    </comment>
    <comment ref="S51" authorId="43" shapeId="0" xr:uid="{C73B1E74-F40C-4DF5-AF0D-3BE0656D2DAB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Integré la nouvelle detection de givre par programme automate.</t>
      </text>
    </comment>
    <comment ref="K52" authorId="44" shapeId="0" xr:uid="{D23508B3-3FD3-4E12-A686-5006FFD5F325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cette valeur inclut ~7% de givre.</t>
      </text>
    </comment>
    <comment ref="N52" authorId="45" shapeId="0" xr:uid="{B6C9ACB4-7B1D-483E-B78F-937DF3CFED5E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Calcul par KC suite plans de bridages post-implantations finalisés (activés en juillet 2021) (voir mail)</t>
      </text>
    </comment>
    <comment ref="S52" authorId="46" shapeId="0" xr:uid="{D58EB265-7ADD-442B-960E-CFD5F63C989F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Integré la nouvelle detection de givre par programme automate.</t>
      </text>
    </comment>
    <comment ref="Q53" authorId="47" shapeId="0" xr:uid="{F3458C50-9F14-4766-B8D2-522501A73BD6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bridage classique à 2,68% (KC). remplacé par 1/10ième de nuit (depuis 16/03/2021) : nouvelle estimation à 1,45%.</t>
      </text>
    </comment>
    <comment ref="Q54" authorId="48" shapeId="0" xr:uid="{1F917D20-A12B-45CE-BDD9-E08EF04A11C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APC en cours de signature =2,2% (bridage avifaune)(KC)+2.42% (FR) (bridage chiro)=4.62%</t>
      </text>
    </comment>
    <comment ref="Q55" authorId="49" shapeId="0" xr:uid="{4CBA04D2-C62F-4548-A4AE-3D138E0E60C6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calcul en cours par Florent. mais 0,4% devrait être cohérent
Réponse :
    dernier calcul de Florent à 0.05%</t>
      </text>
    </comment>
    <comment ref="N56" authorId="50" shapeId="0" xr:uid="{233CAC72-A7D3-4CDF-AD5C-1C4F211A8653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estimation senvion avec équipement de serrations (doc 2016 Noise Assessment 8WTG). réception post-implantation en cours de finalisation (nord est). Bridage attendu pour fin 2021/début 2022.</t>
      </text>
    </comment>
    <comment ref="N57" authorId="51" shapeId="0" xr:uid="{BE2E31F0-C43B-43DF-A4F5-A9D0F744F522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estimation senvion avec équipement de serrations (doc 2016 Noise Assessment 8WTG). réception post-implantation en cours de finalisation (nord est). Bridage attendu pour fin 2021/début 2022.</t>
      </text>
    </comment>
    <comment ref="K59" authorId="52" shapeId="0" xr:uid="{47E20295-3DC8-46F6-9B86-A52AAF8ACA62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historique 2020-21 à 99,2%</t>
      </text>
    </comment>
    <comment ref="N59" authorId="53" shapeId="0" xr:uid="{D7FE0FCA-C439-4D07-B1F9-9412F70EF36F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la reduction du bridage de 0,6% grace aux French Modes est incluse dans la colonne amelioration (ce qui explique la differnce entre 2,2% de DNV et 2,8% repoté ici).</t>
      </text>
    </comment>
    <comment ref="O59" authorId="54" shapeId="0" xr:uid="{A050633B-C70F-49C7-A0E7-C2C9B8013652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Inclus dans le bridage acoustique</t>
      </text>
    </comment>
    <comment ref="Q59" authorId="55" shapeId="0" xr:uid="{99A285CF-3368-4357-B1C2-55B6C5BE0CA9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je dois confirmer avec Vézians.</t>
      </text>
    </comment>
    <comment ref="S59" authorId="56" shapeId="0" xr:uid="{129AE090-624D-4D0F-B1A9-EA6F7C56E017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reduction des pertes de 2,8% à 2,2%, selon étude DNV amelioration suite à l'activation des French Modes</t>
      </text>
    </comment>
    <comment ref="K60" authorId="57" shapeId="0" xr:uid="{D532A3FC-296E-49DA-B1E2-09BC081B7EFD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historique 2020-21 à 99,2%</t>
      </text>
    </comment>
    <comment ref="N60" authorId="58" shapeId="0" xr:uid="{7516807E-1292-4887-AA4D-A95EE7A36151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la reduction du bridage de 0,6% grace aux French Modes est incluse dans la colonne amelioration (ce qui explique la differnce entre 2,2% de DNV et 2,8% repoté ici).</t>
      </text>
    </comment>
    <comment ref="O60" authorId="59" shapeId="0" xr:uid="{A1955C50-CF83-4716-8559-3D746F7AFA8B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Inclus dans le bridage acoustique</t>
      </text>
    </comment>
    <comment ref="Q60" authorId="60" shapeId="0" xr:uid="{DA0D7BB1-D483-43BD-85FA-0C8D902019D3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je dois confirmer avec Vézians.</t>
      </text>
    </comment>
    <comment ref="S60" authorId="61" shapeId="0" xr:uid="{4834050F-6D52-4CAF-ADC8-7EF5AE69767B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reduction des pertes de 2,8% à 2,2%, selon étude DNV amelioration suite à l'activation des French Modes</t>
      </text>
    </comment>
    <comment ref="K61" authorId="62" shapeId="0" xr:uid="{C5DD799A-E55D-4630-88CA-A74913CEF07B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historique 2020-21 à 98,5%</t>
      </text>
    </comment>
    <comment ref="S61" authorId="63" shapeId="0" xr:uid="{F14122BD-EF7F-4C8D-B5B3-49DBE7BB7A17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l'éffet de l'amelioration est partiellement integré dans les calculs DNV.</t>
      </text>
    </comment>
    <comment ref="K62" authorId="64" shapeId="0" xr:uid="{96B9D1FD-4FF8-490C-9180-4969BBFC0C98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historique 2020-21 à 98,5%</t>
      </text>
    </comment>
    <comment ref="S62" authorId="65" shapeId="0" xr:uid="{464B573A-51F9-45E2-9C53-B4856C335966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l'éffet de l'amelioration est partiellement integré dans les calculs DNV.</t>
      </text>
    </comment>
    <comment ref="K63" authorId="66" shapeId="0" xr:uid="{AE57E89B-3D59-4535-98B9-A05EFE65B1FE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historique 2020-21 à 97,5%</t>
      </text>
    </comment>
    <comment ref="N63" authorId="67" shapeId="0" xr:uid="{99D9A66C-D9C9-4653-91B3-26AB8598C5C3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Il y a legèr écart entre DNV qui donne un curtailment globale de 0,64% (acoustique), et le fichier des bridages CDC qui porte sur 0,5%.
Réponse :
    le seul calcul que je retrouve de Kloé est à 0.8% (mail du 30/07/2019 calcul sur 360°). je ne retrouve pas le calcul qui a abouti à 0.5%</t>
      </text>
    </comment>
    <comment ref="O63" authorId="68" shapeId="0" xr:uid="{8DFAD5B7-C8A8-4F6E-B299-68D073D2E18E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Inclus dans le bridage acoustique</t>
      </text>
    </comment>
    <comment ref="Q63" authorId="69" shapeId="0" xr:uid="{0C65A4A3-9978-4499-B5DD-86E6D207FFA6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mise en drapeau prévu en 2022 pour les chiros. pas d'estimation à ce jour.</t>
      </text>
    </comment>
    <comment ref="R63" authorId="13" shapeId="0" xr:uid="{87A3FDED-65D6-4884-9706-854AA32A62CD}">
      <text>
        <r>
          <rPr>
            <sz val="9"/>
            <color indexed="81"/>
            <rFont val="Tahoma"/>
            <family val="2"/>
          </rPr>
          <t>PPO (0,5%) + amelioration Yaw (0,1%) + AUG. P (même sans debridage) 1.0%</t>
        </r>
      </text>
    </comment>
    <comment ref="S63" authorId="70" shapeId="0" xr:uid="{72E24230-4757-4F8A-BE6E-F83C6CF7A765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l'éffet de l'amelioration est partiellement integré dans les calculs DNV.</t>
      </text>
    </comment>
    <comment ref="K64" authorId="71" shapeId="0" xr:uid="{B0D4016B-2FFB-4246-AD8B-773DE22C7847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historique 2020-21 à 98,3%</t>
      </text>
    </comment>
    <comment ref="N64" authorId="72" shapeId="0" xr:uid="{BAE5A477-C6E0-49D6-ADE1-36ECF2A9C938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ATTENTION, écart significatif :  le nouveau rapport DNV donne 2,58% (acoiustique + chiro)  alors que le fichier des bridages CDC donne 3,6% (l'historique porte sur ~3,7%)
Réponse :
    @Giannino Martin, j'ai vérifié. les plans de bridages acoustiques sont bon. j'ai retrouvé le calcul e KC à 3.63%. pas de bridage chiro à ce jour sur MET.
Réponse :
    dernire valeur DNV du 21/09: 3,0%</t>
      </text>
    </comment>
    <comment ref="O64" authorId="73" shapeId="0" xr:uid="{28BE6086-43EA-4378-BDAA-38A61DE313DE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Inclus dans le bridage acoustique</t>
      </text>
    </comment>
    <comment ref="K65" authorId="74" shapeId="0" xr:uid="{46FB61A4-6C32-4605-8BF1-D6F6546F2F44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historique 2020-21 à 98,0%</t>
      </text>
    </comment>
    <comment ref="N65" authorId="75" shapeId="0" xr:uid="{7CE9837D-13E7-44E7-B5FC-3484C95821E6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ATTENTION, écart significatif :  le nouveau rapport DNV donne 4,50% (acoustique + chiro)  alors que le fichier des bridages CDC donne 6,75% (historique ~5,1%) +0,8% en chiro (historique ~0,1%).
Réponse :
    @Giannino Martin, erreur de saisie sur 1 mode (classe soirée, E8 à 6m/s) dans le fichier centralisé de bridage utilisé par DNV (voir mail séparé). le bridage actif est correct. le calcul de KC à 6,75% est basé sur le bridage correct. je confirme le calcul de KC à 0,8% pour les chiros.
Réponse :
    dernière valeur DNV du 21/09 à 4,2% en acoustique</t>
      </text>
    </comment>
    <comment ref="O65" authorId="76" shapeId="0" xr:uid="{76A02C8C-82A5-4429-8F02-6A1EB14CD268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Inclus dans le bridage acoustique</t>
      </text>
    </comment>
    <comment ref="Q65" authorId="77" shapeId="0" xr:uid="{D077FA5E-8589-4938-BB55-95ED254A2C3B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Bridage chiro intergé avec l'acoustique par DNV, dans le fichier CDC nous avions 0,8%.
Réponse :
    dernière valeur DNV du 21/09 à 0,2% en chiro</t>
      </text>
    </comment>
    <comment ref="K66" authorId="78" shapeId="0" xr:uid="{C6DBE773-E738-4CB2-A6B3-F820FA165DB4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historique 2020-21 à 99,1%</t>
      </text>
    </comment>
    <comment ref="N66" authorId="79" shapeId="0" xr:uid="{A0789851-F041-42C1-ACF9-8BE2A5A931E9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il y a encore lèger écart apres correction du nouveau rapport DNV avec 4,9%,  alors que le fichier des bridages CDC donne 6,12% en acoustique et 0,80% en chiro. L'historque poure sur 4,1%.
Réponse :
    @Giannino Martin, je confirme le 6,1% pour l'acoustique. pour spécificité ici, les secteurs angulaires proposés par l'acousticien ne sont pas identiques. Or l'outil interne Boralex ne travaille qu'avec des plages angulaires de même taille. Kloé a dû appliquer le plan de bridage NE sur le secteur [270;90[ et le SO sur [90;270[ (au lieu de [315;90[ et [90;315]). Pour les pertes chiro, je ne retrouve pas les 0,8%. l'estimation que j'ai est celle de DNV en 2018 à 0,3% (sur la base des critères toujours d'actualité à ce jour).</t>
      </text>
    </comment>
    <comment ref="O66" authorId="80" shapeId="0" xr:uid="{5D570288-B747-4D36-A865-4E27306B0A0F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Inclus dans le bridage acoustique</t>
      </text>
    </comment>
    <comment ref="Q66" authorId="81" shapeId="0" xr:uid="{4DBC1692-28B3-4DB1-83F7-FDA7EADDA3B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Verifier si le bridage chiro est intergé ou pas avec l'acoustique par DNV (la valeur corrigée de 4,9%), dans le fichier CDC nous avions 0,8%.
Réponse :
    Je ne retrouve pas le calcul des 0,8%. bridage de E2 et E5 uniquement.
Réponse :
    dernier info le 21/09: chiro = 0,3%</t>
      </text>
    </comment>
    <comment ref="S66" authorId="82" shapeId="0" xr:uid="{D85E9684-7B36-471D-86F6-04EDCF6A5ABC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l'éffet de l'amelioration est partiellement integré dans les calculs DNV.</t>
      </text>
    </comment>
    <comment ref="K67" authorId="83" shapeId="0" xr:uid="{C14823D6-4DBD-4E63-B10A-92A0CCC75125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historique 2020-21 à 99,5%</t>
      </text>
    </comment>
    <comment ref="N67" authorId="84" shapeId="0" xr:uid="{BA0BB2BF-4A28-40DC-8BBA-EC7B4E7ECCEC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Pas d'estimation précise par DNV, assumons la valeur du fichier bridage CDC.
Réponse :
    dernière valeur DNV du 21/09 à 0,9% en acoustique</t>
      </text>
    </comment>
    <comment ref="O67" authorId="85" shapeId="0" xr:uid="{309992E7-9895-44F2-84B4-EA392BDCD552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Inclus dans le bridage acoustique
Réponse :
    dernière info DNV du 21/07: Bridage chiro = 1,1%, le bridage Milan est dans la dispo.</t>
      </text>
    </comment>
    <comment ref="Q67" authorId="86" shapeId="0" xr:uid="{9F38CC77-5075-4921-80BA-00EBEBDD3A6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Pas d'estimation précise par DNV, mais comptabilisation des arrêts chiro dans le 1,98% de curtailment. En revanche, le Milan Royal a été compatbilisé par DNV comme unavailability à la hauteur 6,73%, ce qui est pour la plus part du bridage. La dispo technique est ~99,5%. Le bridage agricole se confirme ~5,1% pour 2021. Avec la validation de l'IDF on passera à 1% de pertes pour Milan à partir de la saison 2022;.
Réponse :
    derière info DNV du 21/09/2021: chiro à 1,1%</t>
      </text>
    </comment>
    <comment ref="S67" authorId="87" shapeId="0" xr:uid="{B90D67D5-B6E0-40EE-AF42-4C8DB96B9AAD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En 2022 nous prennons l'hypothèse d'une amelioration d'environs 4% entre la situation de bridage agricole plus horaire (~5% de pertes comptabilisés en 2021) et la situation avec IDF (avec ~1% de pertes estimés)</t>
      </text>
    </comment>
    <comment ref="K68" authorId="88" shapeId="0" xr:uid="{E2496F35-043F-4F6C-AE75-1FDEFE8F9808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historique 2020-21 à 99,5%</t>
      </text>
    </comment>
    <comment ref="N68" authorId="89" shapeId="0" xr:uid="{4B0C930D-0C4A-4939-AA77-F2AB5FF730FA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Pas d'estimation précise par DNV, assumons la valeur du fichier bridage CDC.
Réponse :
    dernière valeur DNV du 21/09 à 0,9% en acoustique</t>
      </text>
    </comment>
    <comment ref="O68" authorId="90" shapeId="0" xr:uid="{3DD88F28-6D85-4335-BD57-FE67ED0442B2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Inclus dans le bridage acoustique
Réponse :
    dernière info DNV du 21/07: Bridage chiro = 1,1%, le bridage Milan est dans la dispo.</t>
      </text>
    </comment>
    <comment ref="Q68" authorId="91" shapeId="0" xr:uid="{EA1EAE9F-ACA3-48A5-99D8-CB8806B1966E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Pas d'estimation précise par DNV, mais comptabilisation des arrêts chiro dans le 1,98% de curtailment. En revanche, le Milan Royal a été compatbilisé par DNV comme unavailability à la hauteur 6,73%, ce qui est pour la plus part du bridage. La dispo technique est ~99,5%. Le bridage agricole se confirme ~5,1% pour 2021. Avec la validation de l'IDF on passera à 1% de pertes pour Milan à partir de la saison 2022;.
Réponse :
    derière info DNV du 21/09/2021: chiro à 1,1%</t>
      </text>
    </comment>
    <comment ref="S68" authorId="92" shapeId="0" xr:uid="{8690DE8B-8131-4E62-B21B-9AF0DF4F6A87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En 2022 nous prennons l'hypothèse d'une amelioration d'environs 2% par effet d'une mise en service le mois de juin, avec un 4% anneulle venant de l'écart entre le bridage agricole plus horaire (~5% de pertes comptabilisés en 2021) et la situation avec IDF (avec ~1% de pertes estimés)</t>
      </text>
    </comment>
    <comment ref="K72" authorId="93" shapeId="0" xr:uid="{5D6909E6-7863-4D17-9ED9-A20CCAEA9BED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cetta valeur donnée par l'étude dans 2019 inclus un effet du givre, qui en réalité n'étais pas optimisées. Nous recuperons donc 0,6% sur ce parc grace à l'optimisation du givre.</t>
      </text>
    </comment>
    <comment ref="Q72" authorId="94" shapeId="0" xr:uid="{6FC0469E-1157-488E-A229-55A5E0ED6749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PPB : bridage chiro en 2022</t>
      </text>
    </comment>
    <comment ref="S72" authorId="95" shapeId="0" xr:uid="{82BDB3FB-6895-4C38-B0A5-057C922EAA33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par extrapolation sur Noyers Bucamps, sachant que la detection du givre était mal reglée, nous considerons de recuperer 0,6%.</t>
      </text>
    </comment>
    <comment ref="K73" authorId="96" shapeId="0" xr:uid="{A4D8C1EA-0C7C-486F-9849-36DDCB0BF71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cetta valeur donnée par l'étude dans 2019 inclus un effet du givre, qui en réalité n'étais pas optimisées. Nous recuperons donc 0,6% sur ce parc grace à l'optimisation du givre.</t>
      </text>
    </comment>
    <comment ref="S73" authorId="97" shapeId="0" xr:uid="{5A12B8FB-9F25-4011-8CA0-ACE0514BBB08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par extrapolation sur Noyers Bucamps, sachant que la detection du givre était mal reglée, nous considerons de recuperer 0,6%.</t>
      </text>
    </comment>
    <comment ref="K74" authorId="98" shapeId="0" xr:uid="{0F0FD7E0-5CE6-4689-BD1D-5E247163AEBE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cetta valeur donnée par l'étude dans 2019 inclus un effet du givre, qui en réalité n'étais pas optimisées. Nous recuperons donc 0,6% sur ce parc grace à l'optimisation du givre.</t>
      </text>
    </comment>
    <comment ref="S74" authorId="99" shapeId="0" xr:uid="{C7FBBB2D-06CB-4DBF-9B94-407BC2E9AA0B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par extrapolation sur Noyers Bucamps, sachant que la detection du givre était mal reglée, nous considerons de recuperer 0,6%.</t>
      </text>
    </comment>
    <comment ref="N76" authorId="100" shapeId="0" xr:uid="{2F808422-7DD5-4596-8C4B-33BCA44035D9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inhérent au calcul</t>
      </text>
    </comment>
    <comment ref="Q78" authorId="101" shapeId="0" xr:uid="{5CA33234-4676-4C73-B2A5-108F2179F01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Bridage chiro+avifaune très probable en 2022 (négociation en cours)-A ANTICIPER sur 2022</t>
      </text>
    </comment>
    <comment ref="K81" authorId="102" shapeId="0" xr:uid="{96A934A2-C6F3-4761-A75A-8D9FDF06B83D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cetta valeur donnée par l'étude dans 2019 inclus un effet du givre, qui en réalité n'étais pas optimisées. Nous recuperons donc 0,6% sur ce parc grace à l'optimisation du givre.</t>
      </text>
    </comment>
    <comment ref="S81" authorId="103" shapeId="0" xr:uid="{68E65F71-A7D5-40A2-94B7-55D5EFD11B97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par extrapolation sur Noyers Bucamps, sachant que la detection du givre était mal reglée, nous considerons de recuperer 0,6%.</t>
      </text>
    </comment>
    <comment ref="N82" authorId="104" shapeId="0" xr:uid="{588761E5-B237-48BA-A529-0F91819E7608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inhérent au calcul</t>
      </text>
    </comment>
    <comment ref="Q82" authorId="105" shapeId="0" xr:uid="{41A14851-36F3-4891-A454-AD98CBBAE804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HP de debrider mi année 2022 et ne rester que avec le RADAR (pertes 1%).
Réponse :
    révision hypothèse 2% pour le radar pertes résiduelles</t>
      </text>
    </comment>
    <comment ref="N84" authorId="106" shapeId="0" xr:uid="{0701AD77-DDDF-49CD-9B68-8C0B7467F8CA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inhérent au calcul</t>
      </text>
    </comment>
    <comment ref="Q84" authorId="107" shapeId="0" xr:uid="{58C0DFCC-AEC6-41E8-A3F3-20F913E90264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HP de debrider mi année 2022 et ne rester que avec le RADAR (pertes 1%).
Réponse :
    révision à 2% pertes résiduelles pour le radar aulieu de 1%</t>
      </text>
    </comment>
    <comment ref="K85" authorId="108" shapeId="0" xr:uid="{96E805A1-5EED-4497-9C2D-70440D1A53B3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cetta valeur donnée par l'étude dans 2021 donne 96,4%, inclus un effet du givre, qui en réalité n'étais pas optimisées. Nous recuperons donc 0,6% sur ce parc grace à l'optimisation du givre.</t>
      </text>
    </comment>
    <comment ref="O85" authorId="109" shapeId="0" xr:uid="{5C99313E-906D-4D23-A9D5-F6A343587476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Inclus dans le bridage acoustique</t>
      </text>
    </comment>
    <comment ref="Q85" authorId="110" shapeId="0" xr:uid="{432056F7-B6AD-4BC2-B33E-3EAC5C44FB53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Mise en drapeau activé depuis juillet 2020. pas d'estimation à ce jour. renforcement possible selon suivi 2021.</t>
      </text>
    </comment>
    <comment ref="S85" authorId="111" shapeId="0" xr:uid="{C40634DF-3995-4FE5-97CD-85DE349006FF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l'écart entre l'étude 2019 et 2021 est essentiellement dû au givre, qui était mal reglé : avec l'amelioration nous considerons donc que de recuperer 0,6%.</t>
      </text>
    </comment>
    <comment ref="N86" authorId="112" shapeId="0" xr:uid="{FC6DEA03-6B07-4A46-8794-233786A08B38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hypothèse car mesures post-implantation prévue à l'automne 2021. risque très faible.</t>
      </text>
    </comment>
    <comment ref="K87" authorId="113" shapeId="0" xr:uid="{46393E25-62CE-4E52-AB03-D47DD505E02F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historique 2020-21 à 99,3%</t>
      </text>
    </comment>
    <comment ref="N87" authorId="114" shapeId="0" xr:uid="{AEECB9E9-5A5E-4787-96BD-3F086B7D14B2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DNV donne un curtailment globale de 0,10% (acoustique), ce qui est en ligne avec le fichier des bridages CDC à 0,14%.
Réponse :
    je confirme le 0,14% pour le bridage acoustique.</t>
      </text>
    </comment>
    <comment ref="O87" authorId="115" shapeId="0" xr:uid="{F12B75C8-697E-4570-B6D7-42E250D4C972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Inclus dans le bridage acoustique</t>
      </text>
    </comment>
    <comment ref="S87" authorId="116" shapeId="0" xr:uid="{ECB42A86-88E3-4152-8DF4-D837A94C88BA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l'éffet de l'amelioration est partiellement integré dans les calculs DNV.</t>
      </text>
    </comment>
    <comment ref="K88" authorId="117" shapeId="0" xr:uid="{31DE89CC-89C4-4EF2-8F2F-E16F2D056B2F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historique 2020-21 à 98,1%</t>
      </text>
    </comment>
    <comment ref="N88" authorId="118" shapeId="0" xr:uid="{BE3B1C59-AF3D-4183-B7D9-0B3DA8A2926C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valeur donnée par DNV en globale, alors qu'il n'y a pas traçe de bridage dans le fichier des bridages CDC
Réponse :
    @Giannino, oui difficile de comprendre d'où vient le chiffre DNV. la campagne post-implantation est en cours (SO fait fin 2020). attente NE. pour l'instant, pas de bridage en place mais l'estimation pré-implantation est à 1,1% (chiffre DNV pour RIB1). De plus, bridage chiro à prévoir pour 2022 (estimation KC=1,1% également). donc, selon BLX, on serait plutôt à 2,2% de perte global (acoustique+chiro)</t>
      </text>
    </comment>
    <comment ref="O88" authorId="119" shapeId="0" xr:uid="{ACB44E2A-6AEF-4C56-8E14-411384F7822B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Inclus dans le bridage acoustique</t>
      </text>
    </comment>
    <comment ref="Q88" authorId="120" shapeId="0" xr:uid="{440A55E0-28E3-4826-988D-46626B509F9C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bridage chiro attendu pour une 1ière mise en oeuvre en avril 2022 (1,1% calculé par KC)</t>
      </text>
    </comment>
    <comment ref="K89" authorId="121" shapeId="0" xr:uid="{70AC1666-2B4C-453E-860F-A31284C5C64D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historique 2020-21 à 97,7%</t>
      </text>
    </comment>
    <comment ref="N89" authorId="122" shapeId="0" xr:uid="{E8D9D09D-6662-4ECA-A042-D3FBA4098C6A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ATTENTION, écart significatif :  le nouveau rapport DNV donne 0,93% (acoiustique + chiro)  alors que le fichier des bridages CDC donne 1,7% en acoustique et 0,7% en chiro (l'historique porte sur 0,9% en coustique et 1,0% en chiro)
Réponse :
    @giannino, je confirme les calculs de Kloé. acoustique=1,7% (réactualisation suite mesures)+0.7% chiro=2.4% au total pour blx. Je ne comprends pas le calcul de DNV. le fichier centralisé de bridage est correct (vérifié avec le rapport acoustique).</t>
      </text>
    </comment>
    <comment ref="O89" authorId="123" shapeId="0" xr:uid="{4215F66A-CE74-4134-BFD5-BE6E380F9AF6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Inclus dans le bridage acoustique</t>
      </text>
    </comment>
    <comment ref="Q89" authorId="124" shapeId="0" xr:uid="{2CB5D53D-AEF0-4635-8179-4B2C2DE0AC8E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Bridage chiro intergé avec l'acoustique par DNV, dans le fichier CDC nous avions 0,7%.</t>
      </text>
    </comment>
    <comment ref="S89" authorId="125" shapeId="0" xr:uid="{16FDC6D7-D2B2-43B2-852B-09092FBD5E73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l'éffet de l'amelioration est partiellement integré dans les calculs DNV.</t>
      </text>
    </comment>
    <comment ref="K90" authorId="126" shapeId="0" xr:uid="{B6BE27EC-8934-4320-A0A7-E28977EDC4E9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historique 2020-21 à 97,7%</t>
      </text>
    </comment>
    <comment ref="N90" authorId="127" shapeId="0" xr:uid="{E3619D6B-27EB-4325-9ADE-95633E66E86F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ATTENTION, écart significatif :  le nouveau rapport DNV donne 0,93% (acoiustique + chiro)  alors que le fichier des bridages CDC donne 1,7% en acoustique et 0,7% en chiro (l'historique porte sur 0,9% en coustique et 1,0% en chiro)
Réponse :
    @giannino, je confirme les calculs de Kloé. acoustique=1,7% (réactualisation suite mesures)+0.7% chiro=2.4% au total pour blx. Je ne comprends pas le calcul de DNV. le fichier centralisé de bridage est correct (vérifié avec le rapport acoustique).</t>
      </text>
    </comment>
    <comment ref="O90" authorId="128" shapeId="0" xr:uid="{315D0720-3B8B-44A4-8147-1FB1DA9B447F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Inclus dans le bridage acoustique</t>
      </text>
    </comment>
    <comment ref="Q90" authorId="129" shapeId="0" xr:uid="{981EBB18-EF7D-484E-9D11-B31EDEA94C7B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Bridage chiro intergé avec l'acoustique par DNV, dans le fichier CDC nous avions 0,7%.</t>
      </text>
    </comment>
    <comment ref="R90" authorId="13" shapeId="0" xr:uid="{B19CA8A4-C311-490E-A6BF-897D8243301A}">
      <text>
        <r>
          <rPr>
            <sz val="9"/>
            <color indexed="81"/>
            <rFont val="Tahoma"/>
            <family val="2"/>
          </rPr>
          <t>L'amelioration passe à 1,0% grace à l'AUG P.  sans bridage, ni au WTG ni au PDL</t>
        </r>
      </text>
    </comment>
    <comment ref="S90" authorId="130" shapeId="0" xr:uid="{89CCCB81-BA23-4268-B47D-7987D250C7DB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l'éffet de l'amelioration est partiellement integré dans les calculs DNV.</t>
      </text>
    </comment>
    <comment ref="K91" authorId="131" shapeId="0" xr:uid="{1D9FAF66-7331-4DF5-8416-C629067CEB39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historique 2020-21 à 97,7%</t>
      </text>
    </comment>
    <comment ref="N91" authorId="132" shapeId="0" xr:uid="{D5F05DF7-E3C1-4377-98DF-CF89D19E0C44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DNV donne un curtailment globale de 0,10% (acoustique), ce qui est en ligne avec le fichier des bridages CDC à 0,10%.
Réponse :
    ok c'est bon</t>
      </text>
    </comment>
    <comment ref="O91" authorId="133" shapeId="0" xr:uid="{3399ED63-36DA-4CBE-AEE6-13106BB7BBA6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Inclus dans le bridage acoustique</t>
      </text>
    </comment>
    <comment ref="S91" authorId="134" shapeId="0" xr:uid="{689591D6-FBF7-43E8-89F7-0444E4536B96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l'éffet de l'amelioration est partiellement integré dans les calculs DNV.</t>
      </text>
    </comment>
    <comment ref="K92" authorId="135" shapeId="0" xr:uid="{47927DC7-57A4-4145-BE46-248406F64F34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historique 2020-21 à 97,7%</t>
      </text>
    </comment>
    <comment ref="N92" authorId="136" shapeId="0" xr:uid="{F0053DFC-6129-453A-A38F-4C6668E05A9D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DNV donne un curtailment globale de 0,10% (acoustique), ce qui est en ligne avec le fichier des bridages CDC à 0,10%.
Réponse :
    ok c'est bon</t>
      </text>
    </comment>
    <comment ref="O92" authorId="137" shapeId="0" xr:uid="{9E06223F-DEBE-4FB7-B969-261781821A81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Inclus dans le bridage acoustique</t>
      </text>
    </comment>
    <comment ref="S92" authorId="138" shapeId="0" xr:uid="{406FF138-E2FE-4C01-AC1A-0DEB6592F6AF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l'éffet de l'amelioration est partiellement integré dans les calculs DNV.</t>
      </text>
    </comment>
    <comment ref="N96" authorId="139" shapeId="0" xr:uid="{031AFD5A-772A-467D-9429-A35287E89382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calcul des plans de bridages en cours sur les 2 directions (mesures en réception post-implantation terminées au printemps 2021).</t>
      </text>
    </comment>
    <comment ref="Q96" authorId="140" shapeId="0" xr:uid="{CA384558-A929-418C-A56D-DF929B760C8B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on attends les résultats des suivis 2021 afin de confirmer s'il y a ou pas un bridage chiro à prévoir (à première vue, enjeu faible)</t>
      </text>
    </comment>
    <comment ref="S96" authorId="141" shapeId="0" xr:uid="{567F2E7C-74C4-44ED-9A98-B2CAAA4B9883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Les pertes grivre enregistrés en 2020-21 sont exceprtionnelles (6 GWh entre janvier et avril) , les nouveaux reglages givre remettrons les pertes sur des valeurs prevus d'origine par DNV (~3,5% soit 3,8 GWh).</t>
      </text>
    </comment>
    <comment ref="N97" authorId="142" shapeId="0" xr:uid="{9C1ADBB7-729A-4754-B412-9F25653B3697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bridage pré-implantation activé depuis la MES (obligation APA)</t>
      </text>
    </comment>
    <comment ref="Q97" authorId="143" shapeId="0" xr:uid="{878244B9-0BF6-49C3-B7BD-467353AA9BC6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on attend les résultats des suivis 2021</t>
      </text>
    </comment>
    <comment ref="N98" authorId="144" shapeId="0" xr:uid="{249E1641-2CE4-4727-A0EA-5F3C735E3FB1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mesures post-implantation réalisées au printemps 2021-&gt; résultats conformes</t>
      </text>
    </comment>
    <comment ref="Q98" authorId="145" shapeId="0" xr:uid="{15908A28-E8BA-4CF3-904E-F682FDC9576A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on attend les résultats des suivis 2021</t>
      </text>
    </comment>
    <comment ref="N99" authorId="146" shapeId="0" xr:uid="{83E20746-2158-4236-A68D-BD88EE5F51BB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% à valider avec Ernani ( sur base pré-implantation). mesures prévues début 2022.</t>
      </text>
    </comment>
    <comment ref="Q99" authorId="147" shapeId="0" xr:uid="{0F94A13E-6DD3-4416-A263-9810FEAF4C83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suivis enviro prévus en 2022.</t>
      </text>
    </comment>
    <comment ref="N102" authorId="148" shapeId="0" xr:uid="{C46BE433-8CCB-4E3C-B7DA-448A6372091D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bridage pré-implantation activé depuis le 3 mai 2021. élargissement du secteur Est à 180° (plainte bruit)</t>
      </text>
    </comment>
    <comment ref="Q102" authorId="149" shapeId="0" xr:uid="{3DFC55DF-558D-47A1-8D23-6285982D5466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on attend les résultats de suivi</t>
      </text>
    </comment>
    <comment ref="N103" authorId="150" shapeId="0" xr:uid="{D5C41785-E8B2-4AC2-87E8-5A94962B237E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Ok, validé avec Ernani (mail du 21/09/21)</t>
      </text>
    </comment>
    <comment ref="Q103" authorId="151" shapeId="0" xr:uid="{175A076F-F1CA-49A9-9FD9-85A00E6D5FCE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inclut dans le bridage acoustique</t>
      </text>
    </comment>
    <comment ref="N104" authorId="152" shapeId="0" xr:uid="{A1640C78-2F2C-42E9-A312-5988DAA7D004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Ok, validé avec Ernani (mail du 21/09/2021)</t>
      </text>
    </comment>
    <comment ref="Q104" authorId="153" shapeId="0" xr:uid="{B50D5456-A033-4441-BDF8-9AA2317A1197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ok validé avec Ernani (mail du 21/09/21)</t>
      </text>
    </comment>
    <comment ref="N105" authorId="154" shapeId="0" xr:uid="{B93E321F-8788-434A-BC2F-0A03A00EFEE9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Ok, validé avec Ernani (mail du 21/09/2021)</t>
      </text>
    </comment>
    <comment ref="Q105" authorId="155" shapeId="0" xr:uid="{322B2CFE-8F49-4A79-A759-8EC1DBC180EE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ok validé avec Ernani (mail du 21/09/21)</t>
      </text>
    </comment>
    <comment ref="N106" authorId="156" shapeId="0" xr:uid="{C1D0BAF9-A167-4173-81A8-FABB1D869FA3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Ok, validé avec Ernani (mail du 21/09/2021)</t>
      </text>
    </comment>
    <comment ref="Q106" authorId="157" shapeId="0" xr:uid="{DAC421A1-01BD-456B-9921-5B3454BD59C5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ok validé avec Ernani (mail du 21/09/21)</t>
      </text>
    </comment>
    <comment ref="N107" authorId="158" shapeId="0" xr:uid="{85AD0517-4D70-4710-B39A-2CC9F789B70A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Ok, validé avec Ernani (mail du 21/09/2021)</t>
      </text>
    </comment>
    <comment ref="Q107" authorId="159" shapeId="0" xr:uid="{F02263D2-B67D-488B-A160-9298AD236844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Ok validé averc Ernani (mail du 21/09/2021)</t>
      </text>
    </comment>
  </commentList>
</comments>
</file>

<file path=xl/sharedStrings.xml><?xml version="1.0" encoding="utf-8"?>
<sst xmlns="http://schemas.openxmlformats.org/spreadsheetml/2006/main" count="1684" uniqueCount="399">
  <si>
    <t>Ernani</t>
  </si>
  <si>
    <t>Giannino</t>
  </si>
  <si>
    <t>Emilie</t>
  </si>
  <si>
    <t>Stephanie</t>
  </si>
  <si>
    <t>A faire</t>
  </si>
  <si>
    <t>Code LV pour saisie</t>
  </si>
  <si>
    <t>Projet</t>
  </si>
  <si>
    <t>Budget 2020 (KWh)</t>
  </si>
  <si>
    <t>Type d'étude</t>
  </si>
  <si>
    <t>P50 net Etude - avec disponibilité, bridage acoustique et avifaune - tiens compte de la date de mise en service (KWh)</t>
  </si>
  <si>
    <t>P90 net Etude - avec disponibilité, bridage acoustique et avifaune - tiens compte de la date de mise en service (KWh)</t>
  </si>
  <si>
    <t>Disponibilité énergétique réelle budget 2020 (%)</t>
  </si>
  <si>
    <t>Disponibilité énergétique réelle budget 2021 (%)</t>
  </si>
  <si>
    <t>Bridage acoustique budget 2020 (%)</t>
  </si>
  <si>
    <t>Bridage acoustique budget 2021 (%)</t>
  </si>
  <si>
    <t>Bridage avifaune budget 2020 (%)</t>
  </si>
  <si>
    <t>Bridage avifaune budget 2021 (%)</t>
  </si>
  <si>
    <t>Améliorations excellence opérationnelle (%)</t>
  </si>
  <si>
    <t>P90 Budget 2021 (KWh)</t>
  </si>
  <si>
    <t>Ecart budget 2020 vs 2021</t>
  </si>
  <si>
    <t>Observation</t>
  </si>
  <si>
    <t>Ecart B20 vs B21</t>
  </si>
  <si>
    <t>Ecart en %</t>
  </si>
  <si>
    <t>Ecart Brome vs B21</t>
  </si>
  <si>
    <t>Commentaires Controlling</t>
  </si>
  <si>
    <t>E5030</t>
  </si>
  <si>
    <t>Avignonet I</t>
  </si>
  <si>
    <t>Brome - DNV GL - 14.05.2019</t>
  </si>
  <si>
    <t>E5210</t>
  </si>
  <si>
    <t>Avignonet II</t>
  </si>
  <si>
    <t>E5040</t>
  </si>
  <si>
    <t>Chépy</t>
  </si>
  <si>
    <t>DNV GL - 14.05.2019</t>
  </si>
  <si>
    <t>E5050</t>
  </si>
  <si>
    <t>Nibas</t>
  </si>
  <si>
    <t>E5070</t>
  </si>
  <si>
    <t>Ally Bessadous</t>
  </si>
  <si>
    <t>inhérent au calcul</t>
  </si>
  <si>
    <t>La répartition de la production au niveau du poste de livraison a été faite à partir de la production historique.</t>
  </si>
  <si>
    <t>E5080</t>
  </si>
  <si>
    <t>Ally Mercoeur</t>
  </si>
  <si>
    <t>E5090</t>
  </si>
  <si>
    <t>Ally Monteil</t>
  </si>
  <si>
    <t>E5100</t>
  </si>
  <si>
    <t>Ally Verseilles</t>
  </si>
  <si>
    <t>E5110</t>
  </si>
  <si>
    <t>Cham Longe Bel Air</t>
  </si>
  <si>
    <t>NA</t>
  </si>
  <si>
    <t>Parc démantélé en 2020</t>
  </si>
  <si>
    <t>E5120</t>
  </si>
  <si>
    <t>Cham Longe Le Courbil (Eole Cevennes)</t>
  </si>
  <si>
    <t>E5150</t>
  </si>
  <si>
    <t>Cham Longe II</t>
  </si>
  <si>
    <t>Le bridage acoustique prévu ne sera pas appliqué en 2021 mais le sera à partir de 2022</t>
  </si>
  <si>
    <t>E5130</t>
  </si>
  <si>
    <t>Plouguin</t>
  </si>
  <si>
    <t>Brome - UL - 05.03.2019</t>
  </si>
  <si>
    <t>E5140</t>
  </si>
  <si>
    <t>La Citadelle</t>
  </si>
  <si>
    <t>E5160</t>
  </si>
  <si>
    <t>Chasse Marée</t>
  </si>
  <si>
    <t>E5170</t>
  </si>
  <si>
    <t>Ronchois 1</t>
  </si>
  <si>
    <t>Ronchois 2</t>
  </si>
  <si>
    <t>Ronchois 3</t>
  </si>
  <si>
    <t>E5180</t>
  </si>
  <si>
    <t>Le Grand Camp</t>
  </si>
  <si>
    <t>E5290</t>
  </si>
  <si>
    <t>St Patrick Pernois 1</t>
  </si>
  <si>
    <t>St Patrick Pernois 2</t>
  </si>
  <si>
    <t>St Patrick Pernois 3</t>
  </si>
  <si>
    <t>St Patrick Hermin</t>
  </si>
  <si>
    <t>E5300</t>
  </si>
  <si>
    <t xml:space="preserve">Vron </t>
  </si>
  <si>
    <t>Brome - DNV GL - 23.07.2019</t>
  </si>
  <si>
    <t>Amélioration performance (Augmentation de puissance au PDL +2.8%) déjà intégrée au BP2020</t>
  </si>
  <si>
    <t>E5270</t>
  </si>
  <si>
    <t>Ménétréols Renardiére (La vallée 2)</t>
  </si>
  <si>
    <t>La répartition de la production au niveau du poste de livraison a été faite à partir de la production historique. Fiabilisation du PDL 1,2% + 2,2 Energy Trust</t>
  </si>
  <si>
    <t>Amélioration performance (Energy Trust 2.2%+ Fiabilisation PDL 1.2%) déjà intégrée au BP2020</t>
  </si>
  <si>
    <t>Ménétréols Les chênes (La vallée 3)</t>
  </si>
  <si>
    <t>Ménétréols Lizeray (La vallée 4)</t>
  </si>
  <si>
    <t>E5280</t>
  </si>
  <si>
    <t>St Georges (La Vallée 1)</t>
  </si>
  <si>
    <t>E5310</t>
  </si>
  <si>
    <t>Fortel 1</t>
  </si>
  <si>
    <t>Entre BP2020 et 2021  il y a un bridage acoustique plus fort de -0.7% / Mais une amélioration de 1.1% venant de 0.3% Powerboost, 0.3% Augmentation puissance et 0.5% Amélioration du bridage</t>
  </si>
  <si>
    <t>Fortel 2</t>
  </si>
  <si>
    <t>E5320</t>
  </si>
  <si>
    <t>St François Roye 2</t>
  </si>
  <si>
    <t>Brome - DNV GL - 07.09.2018</t>
  </si>
  <si>
    <t>Il y a une amélioration de 0.3% venant de Powerboost, déjà intégrée dans BP 2020</t>
  </si>
  <si>
    <t>St François Roye 3</t>
  </si>
  <si>
    <t>E5360</t>
  </si>
  <si>
    <t>Calmont (Laur Eole Energie )</t>
  </si>
  <si>
    <t>Il y a un bridage avifaune (chiroptère) plus important de 0.7% qui n'avait pas été intégré au BP2020</t>
  </si>
  <si>
    <t>E5391</t>
  </si>
  <si>
    <t>Coat Conval</t>
  </si>
  <si>
    <t>E5392</t>
  </si>
  <si>
    <t>Leign ar Gasprenn</t>
  </si>
  <si>
    <t>E5396</t>
  </si>
  <si>
    <t>Les Eparmonts</t>
  </si>
  <si>
    <t>L'amélioration prévue ne sera pas réalisée</t>
  </si>
  <si>
    <t>E5398</t>
  </si>
  <si>
    <t>Pannecé (BS)</t>
  </si>
  <si>
    <t>Pannecé La Vallière</t>
  </si>
  <si>
    <t>E5393</t>
  </si>
  <si>
    <t>Vallée d'Arce 1 (DR)</t>
  </si>
  <si>
    <t>Vallée d'Arce 2 (NY)</t>
  </si>
  <si>
    <t>Vallée d'Arce 3 (NU)</t>
  </si>
  <si>
    <t>E5394</t>
  </si>
  <si>
    <t>La Bouleste</t>
  </si>
  <si>
    <t>Etude interne - 08.2020</t>
  </si>
  <si>
    <t>Le productible a été mis à jour à la suite de l'incendie d'une des turbines. Hypothèse de remplacement de la turbine par une V90 à même hauteur de moyeu avec mise en service le 01/03/2021.</t>
  </si>
  <si>
    <t>E5395</t>
  </si>
  <si>
    <t>Haut de Conge 1</t>
  </si>
  <si>
    <t>Haut de Conge 2</t>
  </si>
  <si>
    <t>Haut de Conge 3</t>
  </si>
  <si>
    <t>E5397</t>
  </si>
  <si>
    <t>Charmoy</t>
  </si>
  <si>
    <t>Amélioration de 0.6% grâce PPO déjà intégrée au BP2020</t>
  </si>
  <si>
    <t>E5399</t>
  </si>
  <si>
    <t>Coulonges (CL)</t>
  </si>
  <si>
    <t>Coulonges (NT)</t>
  </si>
  <si>
    <t>Coulonges (CP)</t>
  </si>
  <si>
    <t>E5400</t>
  </si>
  <si>
    <t>SdlL1</t>
  </si>
  <si>
    <t>SdlL2</t>
  </si>
  <si>
    <t>E5401</t>
  </si>
  <si>
    <t>Pays d'Othe 1</t>
  </si>
  <si>
    <t>Ecart entre B20 et BP2021 car amélioration AAO (Aerodynamic Optimization) non réalisée -0.5%, et le +0.6% d'amélioration vient du PPO (déjà intégrée au BP2020)</t>
  </si>
  <si>
    <t>E5402</t>
  </si>
  <si>
    <t>Comes de l'Arce</t>
  </si>
  <si>
    <t>E5560</t>
  </si>
  <si>
    <t>Touvent</t>
  </si>
  <si>
    <t>arrondi</t>
  </si>
  <si>
    <t>E5570</t>
  </si>
  <si>
    <t>Plateau de Savernat 1</t>
  </si>
  <si>
    <t>Plateau de Savernat 2</t>
  </si>
  <si>
    <t>E5690</t>
  </si>
  <si>
    <t>Voie des monts</t>
  </si>
  <si>
    <t>Brome - UL - 08.03.2019</t>
  </si>
  <si>
    <t>E5630</t>
  </si>
  <si>
    <t>Monts de Bagny 1</t>
  </si>
  <si>
    <t>Bridage acoustique moins fort (on passe de 2.8 à 1.3%) grâce aux French Modes, mais seulement pour moitié de l’année donc amélioration de 0,75%. Cette amélioration avait été intégrée pour moitié sur BP2020, finalement NON réalisée</t>
  </si>
  <si>
    <t>Monts de Bagny 2</t>
  </si>
  <si>
    <t>E5640</t>
  </si>
  <si>
    <t>Artois 1</t>
  </si>
  <si>
    <t>Brome - UL - 10.10.2019</t>
  </si>
  <si>
    <t>Artois 2</t>
  </si>
  <si>
    <t>E5620</t>
  </si>
  <si>
    <t>Chemin de Grès</t>
  </si>
  <si>
    <t>Brome - UL - 02.10.2019</t>
  </si>
  <si>
    <t>E5600</t>
  </si>
  <si>
    <t>Inter deux bos (MET)</t>
  </si>
  <si>
    <t>Brome - UL - 28.09.2018</t>
  </si>
  <si>
    <t>E5700</t>
  </si>
  <si>
    <t>Haut de Comble (HC)</t>
  </si>
  <si>
    <t>Brome - UL - 04.10.2018</t>
  </si>
  <si>
    <t>E5770</t>
  </si>
  <si>
    <t>Le Pelon</t>
  </si>
  <si>
    <t>Brome - UL - 19.09.2017</t>
  </si>
  <si>
    <t>En 2020, le bridage acoustique inclut aussi le bridage avifaune.</t>
  </si>
  <si>
    <t>E5810</t>
  </si>
  <si>
    <t>Coteaux du Blaiseron</t>
  </si>
  <si>
    <t>Brome - Ost Energy - 31.10.2019</t>
  </si>
  <si>
    <t>L'effet IDF sera déjà appréciable en 2021, même si limité aux périodes d'observation (25 jours) à la hauteur de 385 MWh, soit 1,5% de la ligne Nord. Les gains seront présents en
2022 à la hauteur de 1,8% (de la prod totale) de bridage horaire 3,4% de bridage Agricole (ce dernier bridage a été répartie sur les deux linéaires même si le
linéaire nord est plus affecté 5/9 sur le nord et 4/9 sud)</t>
  </si>
  <si>
    <t>CDB Doux le vent</t>
  </si>
  <si>
    <t>1,8% de bridage horaire 3,4% de bridage Agricole (ce bridage a été répartie sur les deux linéaires même si le linéaire
nord est plus affecté 5/9 sur le nord et 4/9 sud)</t>
  </si>
  <si>
    <t>E6190</t>
  </si>
  <si>
    <t>Evits et Josaphats</t>
  </si>
  <si>
    <t>Brome - Everoze - 2017</t>
  </si>
  <si>
    <t>E6200</t>
  </si>
  <si>
    <t>Remise Reclainville</t>
  </si>
  <si>
    <t>E6150</t>
  </si>
  <si>
    <t>Fierville</t>
  </si>
  <si>
    <t>Arrondi sur Brome entre BP2020 et 2021, et amélioration TCU de 0.5%</t>
  </si>
  <si>
    <t>E6340</t>
  </si>
  <si>
    <t>Plaine de Beaunay</t>
  </si>
  <si>
    <t>Brome - Everoze - 2019</t>
  </si>
  <si>
    <t>E6370</t>
  </si>
  <si>
    <t>Val au Moines 1</t>
  </si>
  <si>
    <t>Val au Moines 2</t>
  </si>
  <si>
    <t>E6250</t>
  </si>
  <si>
    <t>Bougainville</t>
  </si>
  <si>
    <t>E6260</t>
  </si>
  <si>
    <t>Saint André</t>
  </si>
  <si>
    <t>E6120</t>
  </si>
  <si>
    <t>Fond de la Plaine</t>
  </si>
  <si>
    <t>E6130</t>
  </si>
  <si>
    <t>Bassigny</t>
  </si>
  <si>
    <t>E6210</t>
  </si>
  <si>
    <t>Les Clérimois</t>
  </si>
  <si>
    <t>E6160</t>
  </si>
  <si>
    <t>Plateau de Langres</t>
  </si>
  <si>
    <t>E6170</t>
  </si>
  <si>
    <t>Les Moulins de Boulay</t>
  </si>
  <si>
    <t>Arrondi sur Brome entre BP2020 et 2021, et amélioration Improved Start up de 0.4%</t>
  </si>
  <si>
    <t>E6330</t>
  </si>
  <si>
    <t>Morlange</t>
  </si>
  <si>
    <t>Brome - UL - 17.09.2019</t>
  </si>
  <si>
    <t>Grâce aux radars on gagne 5,3% (1043 MWh) déjà en 2021 puis pour 2022 le bridage résiduel sera d'environ 1%.</t>
  </si>
  <si>
    <t>E6140</t>
  </si>
  <si>
    <t>Renardières mont de Bezard</t>
  </si>
  <si>
    <t>E6350</t>
  </si>
  <si>
    <t>Zondrange</t>
  </si>
  <si>
    <t>Grâce aux radars on gagne 5,5% (1149 MWh) déjà en 2021 puis pour 2022 le bridage résiduel sera d'environ 1%.</t>
  </si>
  <si>
    <t>E6360</t>
  </si>
  <si>
    <t>Noyers Bucamps NOB</t>
  </si>
  <si>
    <t>E5660</t>
  </si>
  <si>
    <t>Parc du Santerre (XSAN)</t>
  </si>
  <si>
    <t>Brome - UL - 25.05.2018</t>
  </si>
  <si>
    <t>E5590</t>
  </si>
  <si>
    <t>Le Catésis (CAT)</t>
  </si>
  <si>
    <t>Brome - UL - 27.08.2018</t>
  </si>
  <si>
    <t>E5650</t>
  </si>
  <si>
    <t>Seuil du Cambrésis- Ribecourt (RIB)</t>
  </si>
  <si>
    <t>Brome - UL - 14.08.2018</t>
  </si>
  <si>
    <t>E5720</t>
  </si>
  <si>
    <t xml:space="preserve">Basse Thiérache Nord 1 </t>
  </si>
  <si>
    <t>Brome - UL - 31.08.2018</t>
  </si>
  <si>
    <t>Basse Thiérache Nord 2</t>
  </si>
  <si>
    <t>E5710</t>
  </si>
  <si>
    <t xml:space="preserve">Sources de l'Ancre 1 </t>
  </si>
  <si>
    <t>Brome - UL - 04.01.2017</t>
  </si>
  <si>
    <t>Sources de l'Ancre 2</t>
  </si>
  <si>
    <t>E5550</t>
  </si>
  <si>
    <t>Boralex Solaire Les Cigalettes SAS (Montfort)</t>
  </si>
  <si>
    <t>Budget 2020 = budget 2019 mais il faut retirer 0,64%/an à cause de la dégradation (voir page 59 &amp; 106 du rapport Brome)</t>
  </si>
  <si>
    <t>E5250</t>
  </si>
  <si>
    <t>Boralex Solaire Lauragais SAS</t>
  </si>
  <si>
    <t>Budget 2020 = budget 2019 mais il faut retirer 0,64%/an à cause de la dégradation (voir page 59 &amp; 105 du rapport Brome)</t>
  </si>
  <si>
    <t>E5020</t>
  </si>
  <si>
    <t>Blendecques Elec</t>
  </si>
  <si>
    <t>Cette article sera vendu en 2020</t>
  </si>
  <si>
    <t>E6010</t>
  </si>
  <si>
    <t>Cham Longe Repowering</t>
  </si>
  <si>
    <t>Brome - DNV GL - 29.03.2019</t>
  </si>
  <si>
    <t>Date de mise en service selon lettre de cadrage: 01/01/2021</t>
  </si>
  <si>
    <t>E6280</t>
  </si>
  <si>
    <t>Blanches Fosses PBF</t>
  </si>
  <si>
    <t>Eoltech - 19.05.2020</t>
  </si>
  <si>
    <t>E5930</t>
  </si>
  <si>
    <t>Extension seuil de Bapaume XSB</t>
  </si>
  <si>
    <t>Brome - UL - 05.11.2019</t>
  </si>
  <si>
    <t>Bridage avifaune de 0.4% sur BP 2021</t>
  </si>
  <si>
    <t>E5880</t>
  </si>
  <si>
    <t>Extension plaine d'Escrebieux XPE</t>
  </si>
  <si>
    <t>UL - 20.12.2019</t>
  </si>
  <si>
    <t>Date de mise en service selon lettre de cadrage: 01/09/2021</t>
  </si>
  <si>
    <t>Saint Christophe (Clé des champs)</t>
  </si>
  <si>
    <t>UL - 2020 - FRA-WP20-13353044-01.02</t>
  </si>
  <si>
    <t>Date de mise en service selon lettre de cadrage: 01/11/2021</t>
  </si>
  <si>
    <t>Peyrolles</t>
  </si>
  <si>
    <t>EVEROZE - BOR014-R-01.C</t>
  </si>
  <si>
    <t>Date de mise en service selon lettre de cadrage: 01/10/2021</t>
  </si>
  <si>
    <t>E6310</t>
  </si>
  <si>
    <t>Bazougeais</t>
  </si>
  <si>
    <t>DNV GL - 16.10.2019</t>
  </si>
  <si>
    <t>Date de mise en service selon lettre de cadrage: 01/05/2021</t>
  </si>
  <si>
    <t>Total</t>
  </si>
  <si>
    <t>Total périmètre équivalent</t>
  </si>
  <si>
    <t>Attention : Les projets qui sont marqués en rouge (colonne C) sont les projets dont les études de productibles sont faits à partir de données de vent. Ces études n’ont pas été revus par la méthodologie du groupe GTER et peuvent être optimistes selon notre retour d’expérience.</t>
  </si>
  <si>
    <t>% du P50</t>
  </si>
  <si>
    <t>Janvier</t>
  </si>
  <si>
    <t>Février</t>
  </si>
  <si>
    <t>Mars</t>
  </si>
  <si>
    <t>Avril</t>
  </si>
  <si>
    <t>Mai</t>
  </si>
  <si>
    <t>Juin</t>
  </si>
  <si>
    <t>Juillet</t>
  </si>
  <si>
    <t>Août</t>
  </si>
  <si>
    <t>Septembre</t>
  </si>
  <si>
    <t>Octobre</t>
  </si>
  <si>
    <t>Novembre</t>
  </si>
  <si>
    <t>Décembre</t>
  </si>
  <si>
    <t>N jours mois</t>
  </si>
  <si>
    <t>V 100 m (m/s) - Reanalysis</t>
  </si>
  <si>
    <t>Moyenne ponderée</t>
  </si>
  <si>
    <t>Sensibilité</t>
  </si>
  <si>
    <t>Commentaires Amelioration Disponibilité (David + Pascal le 11/09)</t>
  </si>
  <si>
    <r>
      <t xml:space="preserve">Amélioration fiabilité (disponibilité) </t>
    </r>
    <r>
      <rPr>
        <sz val="11"/>
        <color rgb="FFFF0000"/>
        <rFont val="Calibri"/>
        <family val="2"/>
        <scheme val="minor"/>
      </rPr>
      <t>déjà integré en BP2020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FF0000"/>
        <rFont val="Calibri"/>
        <family val="2"/>
        <scheme val="minor"/>
      </rPr>
      <t>(+200 MWh)</t>
    </r>
  </si>
  <si>
    <t>Equipes plus dispo pour le givre, +1%</t>
  </si>
  <si>
    <r>
      <t xml:space="preserve">Amélioration performance PCU/AAO déjà intégrée au BP2020 </t>
    </r>
    <r>
      <rPr>
        <sz val="11"/>
        <color rgb="FFFF0000"/>
        <rFont val="Calibri"/>
        <family val="2"/>
        <scheme val="minor"/>
      </rPr>
      <t>(2/3 des gains totaux à 3,3%)</t>
    </r>
  </si>
  <si>
    <t>negatifs</t>
  </si>
  <si>
    <t xml:space="preserve">Nombreuses action sont en cours (Scada, contrat GE, analise AMDEC, renforcement de l'équipe) : en moyenne sur l'année +2,3% </t>
  </si>
  <si>
    <r>
      <t xml:space="preserve">Amélioration de 0.5% grâce TCU sur BP2021, </t>
    </r>
    <r>
      <rPr>
        <sz val="11"/>
        <color rgb="FFFF0000"/>
        <rFont val="Calibri"/>
        <family val="2"/>
        <scheme val="minor"/>
      </rPr>
      <t>déjà presente en 2020, mais pas integré dans le BP2020 par erreur de saisie.</t>
    </r>
  </si>
  <si>
    <t>Tendence positive en 2020, la fiabilisation porte ses fruits: augmentation 0,2%</t>
  </si>
  <si>
    <t>Une amelioration pour Energy trust avait été prevue, mais pas mise en BP2020, action finalement abbandonée.</t>
  </si>
  <si>
    <t>Malgré l'incendie, nombreuses action sont en cours (Scada, contrat GE, analise AMDEC),  même avec redemarrage en mars de E4 en moyenne sur l'anné, +1,3%</t>
  </si>
  <si>
    <r>
      <t xml:space="preserve">Bridage acoustique plus fort entre BP2020 et BP2021 -1.4%, bridage avifaune moins fort +1.4% et une amélioration TCU de 0.5% </t>
    </r>
    <r>
      <rPr>
        <sz val="11"/>
        <color rgb="FFFF0000"/>
        <rFont val="Calibri"/>
        <family val="2"/>
        <scheme val="minor"/>
      </rPr>
      <t>déjà presente en 2020, mais pas integré dans le BP2020 par erreur de saisie.</t>
    </r>
  </si>
  <si>
    <r>
      <t xml:space="preserve">Amélioration sur détection de givre 0.5% +TCU de 0.5% </t>
    </r>
    <r>
      <rPr>
        <sz val="11"/>
        <color rgb="FFFF0000"/>
        <rFont val="Calibri"/>
        <family val="2"/>
        <scheme val="minor"/>
      </rPr>
      <t>déjà presente en 2020, mais pas integré dans le BP2020 par erreur de saisie.</t>
    </r>
  </si>
  <si>
    <t>Comme pour Ally les équipes seront plus disponibles + tendence positive, +2%</t>
  </si>
  <si>
    <r>
      <t xml:space="preserve">Amélioration de 0.6% grâce PPO déjà intégrée en partie au BP2020, </t>
    </r>
    <r>
      <rPr>
        <sz val="11"/>
        <color rgb="FFFF0000"/>
        <rFont val="Calibri"/>
        <family val="2"/>
        <scheme val="minor"/>
      </rPr>
      <t>mais bridage chiro plus fort en 2021.</t>
    </r>
  </si>
  <si>
    <r>
      <t xml:space="preserve">Bridage avifaune plus fort de -1.2% entre BP2020 et 2021, et amélioration TCU </t>
    </r>
    <r>
      <rPr>
        <sz val="11"/>
        <color rgb="FFFF0000"/>
        <rFont val="Calibri"/>
        <family val="2"/>
        <scheme val="minor"/>
      </rPr>
      <t xml:space="preserve">0,5% </t>
    </r>
    <r>
      <rPr>
        <sz val="11"/>
        <color theme="1"/>
        <rFont val="Calibri"/>
        <family val="2"/>
        <scheme val="minor"/>
      </rPr>
      <t>déjà intégrée dans Brome en 2019</t>
    </r>
  </si>
  <si>
    <r>
      <t xml:space="preserve">Bridage avifaune plus fort de -1.2% entre BP2020 et 2021, et amélioration TCU déjà intégrée dans Brome en 2019. </t>
    </r>
    <r>
      <rPr>
        <sz val="11"/>
        <color rgb="FFFF0000"/>
        <rFont val="Calibri"/>
        <family val="2"/>
        <scheme val="minor"/>
      </rPr>
      <t>Les serrations n'ont pas effet sur la production.</t>
    </r>
  </si>
  <si>
    <r>
      <t>Amélioration PPO de +0.3%</t>
    </r>
    <r>
      <rPr>
        <sz val="11"/>
        <color rgb="FFFF0000"/>
        <rFont val="Calibri"/>
        <family val="2"/>
        <scheme val="minor"/>
      </rPr>
      <t xml:space="preserve"> déjà incluses au BP2020, le plus du BP 2021 porte sur un arrondi</t>
    </r>
  </si>
  <si>
    <t>Tendence positive en 2020, machines tres fiables, +1%.</t>
  </si>
  <si>
    <r>
      <t xml:space="preserve">Amélioration de 0.5% grâce PPO </t>
    </r>
    <r>
      <rPr>
        <sz val="11"/>
        <color rgb="FFFF0000"/>
        <rFont val="Calibri"/>
        <family val="2"/>
        <scheme val="minor"/>
      </rPr>
      <t>(amelioration qui aurait dû être mise au BP2020, mais oublié dans le saisie) +</t>
    </r>
    <r>
      <rPr>
        <sz val="11"/>
        <color theme="1"/>
        <rFont val="Calibri"/>
        <family val="2"/>
        <scheme val="minor"/>
      </rPr>
      <t xml:space="preserve"> 0.5% augmentation de puissance aux machines avec </t>
    </r>
    <r>
      <rPr>
        <u/>
        <sz val="11"/>
        <color theme="1"/>
        <rFont val="Calibri"/>
        <family val="2"/>
        <scheme val="minor"/>
      </rPr>
      <t>bridage</t>
    </r>
    <r>
      <rPr>
        <sz val="11"/>
        <color theme="1"/>
        <rFont val="Calibri"/>
        <family val="2"/>
        <scheme val="minor"/>
      </rPr>
      <t xml:space="preserve"> aux PDL sur BP2021 vs Brome. </t>
    </r>
  </si>
  <si>
    <r>
      <t xml:space="preserve">Amélioration de 0.5% grâce PPO </t>
    </r>
    <r>
      <rPr>
        <sz val="11"/>
        <color rgb="FFFF0000"/>
        <rFont val="Calibri"/>
        <family val="2"/>
        <scheme val="minor"/>
      </rPr>
      <t xml:space="preserve">(amelioration qui aurait dû être mise au BP2020, mais oublié dans le saisie) + </t>
    </r>
    <r>
      <rPr>
        <sz val="11"/>
        <color theme="1"/>
        <rFont val="Calibri"/>
        <family val="2"/>
        <scheme val="minor"/>
      </rPr>
      <t xml:space="preserve"> 1.2% augmentation de puissance aux machines et </t>
    </r>
    <r>
      <rPr>
        <u/>
        <sz val="11"/>
        <color theme="1"/>
        <rFont val="Calibri"/>
        <family val="2"/>
        <scheme val="minor"/>
      </rPr>
      <t>débridage</t>
    </r>
    <r>
      <rPr>
        <sz val="11"/>
        <color theme="1"/>
        <rFont val="Calibri"/>
        <family val="2"/>
        <scheme val="minor"/>
      </rPr>
      <t xml:space="preserve"> aux PDL sur BP2021 vs Brome</t>
    </r>
  </si>
  <si>
    <r>
      <t xml:space="preserve">Amélioration de 0.5% grâce PPO </t>
    </r>
    <r>
      <rPr>
        <sz val="11"/>
        <color rgb="FFFF0000"/>
        <rFont val="Calibri"/>
        <family val="2"/>
        <scheme val="minor"/>
      </rPr>
      <t>(amelioration qui aurait dû être mise au BP2020, mais oublié dans le saisie) +</t>
    </r>
    <r>
      <rPr>
        <sz val="11"/>
        <color theme="1"/>
        <rFont val="Calibri"/>
        <family val="2"/>
        <scheme val="minor"/>
      </rPr>
      <t xml:space="preserve"> 0.1% grâce optimisation Yaw sur BP2021 vs Brome. </t>
    </r>
    <r>
      <rPr>
        <sz val="11"/>
        <color rgb="FFFF0000"/>
        <rFont val="Calibri"/>
        <family val="2"/>
        <scheme val="minor"/>
      </rPr>
      <t>De plus il faut rajouter l'augmentation de puissance aux turbines de 3,3 MW à 3,45, tout en gardant le bridage au Poste HTB à 29,7 MW, ce qui rajoute 1,0% au productible (pas au BP2020, mais déjà réalisé en T4-20).</t>
    </r>
  </si>
  <si>
    <r>
      <t xml:space="preserve">Bridage acoustique moins fort </t>
    </r>
    <r>
      <rPr>
        <sz val="11"/>
        <color rgb="FFFF0000"/>
        <rFont val="Calibri"/>
        <family val="2"/>
        <scheme val="minor"/>
      </rPr>
      <t xml:space="preserve">que prevu dans Brome </t>
    </r>
    <r>
      <rPr>
        <sz val="11"/>
        <color theme="1"/>
        <rFont val="Calibri"/>
        <family val="2"/>
        <scheme val="minor"/>
      </rPr>
      <t>(on passe de 6.35 à 3.6%)</t>
    </r>
  </si>
  <si>
    <r>
      <t>Bridage acoustique plus fort entre BP 2020</t>
    </r>
    <r>
      <rPr>
        <sz val="11"/>
        <color rgb="FFFF0000"/>
        <rFont val="Calibri"/>
        <family val="2"/>
        <scheme val="minor"/>
      </rPr>
      <t xml:space="preserve"> (=Brome) </t>
    </r>
    <r>
      <rPr>
        <sz val="11"/>
        <rFont val="Calibri"/>
        <family val="2"/>
        <scheme val="minor"/>
      </rPr>
      <t xml:space="preserve">et 2021 : on passe de 1.41% à 6.75%. </t>
    </r>
    <r>
      <rPr>
        <sz val="11"/>
        <color rgb="FFFF0000"/>
        <rFont val="Calibri"/>
        <family val="2"/>
        <scheme val="minor"/>
      </rPr>
      <t>Pareil pour le bridage avifaune qui passe de 0% à 0.8% en BP2021.</t>
    </r>
  </si>
  <si>
    <r>
      <t xml:space="preserve">Bridage acoustique moins fort entre BP2020 </t>
    </r>
    <r>
      <rPr>
        <sz val="11"/>
        <color rgb="FFFF0000"/>
        <rFont val="Calibri"/>
        <family val="2"/>
        <scheme val="minor"/>
      </rPr>
      <t xml:space="preserve">(=Brome) </t>
    </r>
    <r>
      <rPr>
        <sz val="11"/>
        <color theme="1"/>
        <rFont val="Calibri"/>
        <family val="2"/>
        <scheme val="minor"/>
      </rPr>
      <t xml:space="preserve">et 2021 (on passe de 10.1% à 6.1%). Pour le bridage avifaune on passe </t>
    </r>
    <r>
      <rPr>
        <sz val="11"/>
        <color rgb="FFFF0000"/>
        <rFont val="Calibri"/>
        <family val="2"/>
        <scheme val="minor"/>
      </rPr>
      <t>de 0% BP2020 (=Brome) à 0.8% BP2021. De plus il y a une amélioration de +0.5% grâce augmentation de puissance aux machines avec bridage aux PDL (action pas prevue au BP2020, mais réalisée sur T4-20)</t>
    </r>
  </si>
  <si>
    <r>
      <t xml:space="preserve">Bridage avifaune moins fort entre BP2020 et 2021 (on passe de 10.7% à 7,1% en incluant 2 % de chiroptère pas présent en 2020). L'amélioration complète de l'IDF est à considérer seulement à partir de 2022, mais déjà en 2021 nous avons un gain de 385 MWh, pendant la période d’observation (25 jours). </t>
    </r>
    <r>
      <rPr>
        <sz val="11"/>
        <color rgb="FFFF0000"/>
        <rFont val="Calibri"/>
        <family val="2"/>
        <scheme val="minor"/>
      </rPr>
      <t>L'amelioration avec les French Modes prevue en BP2020 a été abbandonée (0,035 GWh).</t>
    </r>
  </si>
  <si>
    <t>Tendence positive en 2020, turbines tres fiables, +2,2%</t>
  </si>
  <si>
    <r>
      <t xml:space="preserve">Bridage avifaune moins fort entre BP2020 et 2021 (on passe de 10.7% à 7,1% en incluant 2 % de chiroptère pas présent en 2020). Pas d'amélioration de l'IDF en 2021, car pas encore installé. </t>
    </r>
    <r>
      <rPr>
        <sz val="11"/>
        <color rgb="FFFF0000"/>
        <rFont val="Calibri"/>
        <family val="2"/>
        <scheme val="minor"/>
      </rPr>
      <t>L'amelioration avec les French Modes prevue en BP2020 a été abbandonée (0,035 GWh).</t>
    </r>
  </si>
  <si>
    <t>Tendence positive en 2020, +1%.</t>
  </si>
  <si>
    <t>Tendence tres positive en 2020 : +2%.</t>
  </si>
  <si>
    <r>
      <t xml:space="preserve">Arrondi sur Brome entre BP2020 et 2021, et amélioration PPO de 0.6% </t>
    </r>
    <r>
      <rPr>
        <sz val="11"/>
        <color rgb="FFFF0000"/>
        <rFont val="Calibri"/>
        <family val="2"/>
        <scheme val="minor"/>
      </rPr>
      <t>(amelioration qui aurait dû être mise au BP2020, mais oublié dans le saisie)</t>
    </r>
  </si>
  <si>
    <r>
      <t xml:space="preserve">Grâce aux radars on gagne 5,3% (1043 MWh) déjà en 2021 puis pour 2022 le bridage résiduel sera d'environ 1%. </t>
    </r>
    <r>
      <rPr>
        <sz val="11"/>
        <color rgb="FFFF0000"/>
        <rFont val="Calibri"/>
        <family val="2"/>
        <scheme val="minor"/>
      </rPr>
      <t>Pour info, au BP2020 il y aurait du y avoir une augmengtation de 160 MWh sur 2020, grace à des serrations, amlioration qui n'a pas eu lieu, faute de rentabilité.</t>
    </r>
  </si>
  <si>
    <r>
      <t>Grâce aux radars on gagne 5,5% (1149 MWh) déjà en 2021 puis pour 2022 le bridage résiduel sera d'environ 1%</t>
    </r>
    <r>
      <rPr>
        <sz val="11"/>
        <color rgb="FFFF0000"/>
        <rFont val="Calibri"/>
        <family val="2"/>
        <scheme val="minor"/>
      </rPr>
      <t>, donc amelioration de plus de 6%.</t>
    </r>
  </si>
  <si>
    <r>
      <t xml:space="preserve">Amélioration de 0.3% grâce PPO et 0.5% </t>
    </r>
    <r>
      <rPr>
        <sz val="11"/>
        <color rgb="FFFF0000"/>
        <rFont val="Calibri"/>
        <family val="2"/>
        <scheme val="minor"/>
      </rPr>
      <t>(déjà présent au BP2020)</t>
    </r>
    <r>
      <rPr>
        <sz val="11"/>
        <color theme="1"/>
        <rFont val="Calibri"/>
        <family val="2"/>
        <scheme val="minor"/>
      </rPr>
      <t xml:space="preserve"> + augmentation de puissance aux machines avec bridage aux PDL sur BP2021 </t>
    </r>
    <r>
      <rPr>
        <sz val="11"/>
        <color rgb="FFFF0000"/>
        <rFont val="Calibri"/>
        <family val="2"/>
        <scheme val="minor"/>
      </rPr>
      <t>par rapport à</t>
    </r>
    <r>
      <rPr>
        <sz val="11"/>
        <color theme="1"/>
        <rFont val="Calibri"/>
        <family val="2"/>
        <scheme val="minor"/>
      </rPr>
      <t xml:space="preserve"> Brome</t>
    </r>
    <r>
      <rPr>
        <sz val="11"/>
        <color rgb="FFFF0000"/>
        <rFont val="Calibri"/>
        <family val="2"/>
        <scheme val="minor"/>
      </rPr>
      <t xml:space="preserve"> (cette dernière amelioration approte déjà des avantages en T4 2020)</t>
    </r>
    <r>
      <rPr>
        <sz val="11"/>
        <color theme="1"/>
        <rFont val="Calibri"/>
        <family val="2"/>
        <scheme val="minor"/>
      </rPr>
      <t>.</t>
    </r>
  </si>
  <si>
    <t>Dans le BP2020 il y avait +200 MWh (+0,4% vs Brome) sur la totalité du parc (BTN1 et 2) grâce à l'amelioration de la puissance au PDL (qui en réalité ne concernait que BTN2, réalisé au T3-20). De plus, pour BP2021 il faut considerer uner augmentation de 0.5%, grace à le debridage des machines (de 3,3 MW à 3,45 MW), mais avec maintien du bridage aux PDL BTN1 (réalisée également T3-20. Malheuresusement le Bridage avifaune passe de 0% sur BP2020 (=Brome) à 0.7% sur BP 2021, ce qui annulle tout effet positif.</t>
  </si>
  <si>
    <r>
      <t xml:space="preserve">Arrondi entre P50 et BP2020, Amélioration de 0.5% augmentation de puissance aux machines avec bridage aux PDL sur BP2021 vs Brome </t>
    </r>
    <r>
      <rPr>
        <sz val="11"/>
        <color rgb="FFFF0000"/>
        <rFont val="Calibri"/>
        <family val="2"/>
        <scheme val="minor"/>
      </rPr>
      <t>(amélioration pas en BP2020 mais réalisé T3-20)</t>
    </r>
    <r>
      <rPr>
        <sz val="11"/>
        <rFont val="Calibri"/>
        <family val="2"/>
        <scheme val="minor"/>
      </rPr>
      <t>, et bridage acoustique moins fort (on passe de 8.9% à 0.1%).</t>
    </r>
  </si>
  <si>
    <r>
      <t xml:space="preserve">Arrondi entre P50 et BP2020, Amélioration de 0.5%  augmentation de puissance aux machines avec bridage aux PDL sur BP2021 et Brome </t>
    </r>
    <r>
      <rPr>
        <sz val="11"/>
        <color rgb="FFFF0000"/>
        <rFont val="Calibri"/>
        <family val="2"/>
        <scheme val="minor"/>
      </rPr>
      <t>(action pas prevue au BP2020, mais réalisée sur T4-20)</t>
    </r>
    <r>
      <rPr>
        <sz val="11"/>
        <rFont val="Calibri"/>
        <family val="2"/>
        <scheme val="minor"/>
      </rPr>
      <t>, et bridage acoustique moins fort (on passe de 8.9% à 0.1%)</t>
    </r>
  </si>
  <si>
    <t>Date prévisionnelle de démantèlement : 01/11/2021</t>
  </si>
  <si>
    <t>2ème round: tres bons resultats en 2020, nous pouvons tabler sur +1% pour 2021.</t>
  </si>
  <si>
    <t>2ème round: nous pouvons tabler sur +0,3% pour 2021 car fiabilisation des roulements faite.</t>
  </si>
  <si>
    <t>Tendence positive en 2020, la fiabilisation porte ses fruits, +1% + 0,5% en 2éme round</t>
  </si>
  <si>
    <t>Budget 2021 (KWh) - P50</t>
  </si>
  <si>
    <t>V4 du 06/10/2020</t>
  </si>
  <si>
    <t>Disponibilité énergétique réelle budget 2022 (%)</t>
  </si>
  <si>
    <t>Bridage acoustique budget 2022 (%)</t>
  </si>
  <si>
    <t>Bridage avifaune budget 2022 (%)</t>
  </si>
  <si>
    <t>Améliorations excellence opérationnelle (%) 2021</t>
  </si>
  <si>
    <t>Améliorations excellence opérationnelle (%) 2022</t>
  </si>
  <si>
    <t>Budget 2022 (KWh) - P50</t>
  </si>
  <si>
    <t>Ecart budget 2021 vs 2022</t>
  </si>
  <si>
    <t xml:space="preserve">Budget 2022 (KWh) - P90 </t>
  </si>
  <si>
    <t>Extension seuil de Bapaume (XSB)</t>
  </si>
  <si>
    <t>Extension plaine d'Escrebieux (XPE)</t>
  </si>
  <si>
    <t>La Grande Borne (LGB)</t>
  </si>
  <si>
    <t>Bois des Fontaines (BDF)</t>
  </si>
  <si>
    <t>Repowering Bougainville (BGV-R)</t>
  </si>
  <si>
    <t>Repowering Evits et Josaphats (EEJ-R)</t>
  </si>
  <si>
    <t>Repowering Remise de Reclainville (RCL-R)</t>
  </si>
  <si>
    <t>Ecart B21 vs B22</t>
  </si>
  <si>
    <t>Ecart Brome vs B22</t>
  </si>
  <si>
    <t>x</t>
  </si>
  <si>
    <t>YB70 - DNV - 16.07.2021</t>
  </si>
  <si>
    <t>Saisie Giannino</t>
  </si>
  <si>
    <t>Attention : Les projets qui sont marqués en rouge dans cette colonne sont les projets dont les études de productibles sont faits à partir de données de vent. Ces études n’ont pas été revus par la méthodologie du groupe GTER et peuvent être optimistes selon notre retour d’expérience.</t>
  </si>
  <si>
    <t>Disponibilité énergétique réelle étude (%)</t>
  </si>
  <si>
    <t>UL - 22.07.2021</t>
  </si>
  <si>
    <t>DNV - 25.05.2020</t>
  </si>
  <si>
    <t>DNV - 13.01.2021</t>
  </si>
  <si>
    <t>DNV - 11.08.2021</t>
  </si>
  <si>
    <t>X</t>
  </si>
  <si>
    <t>détails ameliorations 2022</t>
  </si>
  <si>
    <t>optimisation detection givre</t>
  </si>
  <si>
    <t>Bridage acoustique moins fort (on passe de 2.8 à 2.2%) grâce aux French Modes déjà en début 2021.</t>
  </si>
  <si>
    <t>Amélioration de 0.3% grâce PPO (déjà en 2020) et 0.5% + augmentation de puissance aux machines avec bridage aux PDL déjà en début 2021.</t>
  </si>
  <si>
    <r>
      <t xml:space="preserve">Amélioration de 0.5% (déjà debut 2020) grâce PPO + 0.5% augmentation de puissance aux machines avec </t>
    </r>
    <r>
      <rPr>
        <u/>
        <sz val="11"/>
        <color rgb="FFFF0000"/>
        <rFont val="Calibri"/>
        <family val="2"/>
        <scheme val="minor"/>
      </rPr>
      <t>bridage</t>
    </r>
    <r>
      <rPr>
        <sz val="11"/>
        <color rgb="FFFF0000"/>
        <rFont val="Calibri"/>
        <family val="2"/>
        <scheme val="minor"/>
      </rPr>
      <t xml:space="preserve"> aux PDL déjà début 2021. </t>
    </r>
  </si>
  <si>
    <r>
      <t xml:space="preserve">Amélioration de 0.5% (déjà debut 2020) grâce PPO + 1,0% augmentation de puissance aux machines avec </t>
    </r>
    <r>
      <rPr>
        <u/>
        <sz val="11"/>
        <color rgb="FFFF0000"/>
        <rFont val="Calibri"/>
        <family val="2"/>
        <scheme val="minor"/>
      </rPr>
      <t>bridage</t>
    </r>
    <r>
      <rPr>
        <sz val="11"/>
        <color rgb="FFFF0000"/>
        <rFont val="Calibri"/>
        <family val="2"/>
        <scheme val="minor"/>
      </rPr>
      <t xml:space="preserve"> aux PDL déjà début 2021 + 0.1% grâce optimisation Yaw  déjà mi-2020 </t>
    </r>
  </si>
  <si>
    <r>
      <t xml:space="preserve">Amélioration de 0.5% (déjà debut 2020) grâce PPO + 1.2% augmentation de puissance aux machines SANS </t>
    </r>
    <r>
      <rPr>
        <u/>
        <sz val="11"/>
        <color rgb="FFFF0000"/>
        <rFont val="Calibri"/>
        <family val="2"/>
        <scheme val="minor"/>
      </rPr>
      <t>bridage</t>
    </r>
    <r>
      <rPr>
        <sz val="11"/>
        <color rgb="FFFF0000"/>
        <rFont val="Calibri"/>
        <family val="2"/>
        <scheme val="minor"/>
      </rPr>
      <t xml:space="preserve"> aux PDL déjà début 2021. </t>
    </r>
  </si>
  <si>
    <r>
      <t xml:space="preserve">Amélioration de 0.5% augmentation de puissance aux machines avec </t>
    </r>
    <r>
      <rPr>
        <u/>
        <sz val="11"/>
        <color rgb="FFFF0000"/>
        <rFont val="Calibri"/>
        <family val="2"/>
        <scheme val="minor"/>
      </rPr>
      <t>bridage</t>
    </r>
    <r>
      <rPr>
        <sz val="11"/>
        <color rgb="FFFF0000"/>
        <rFont val="Calibri"/>
        <family val="2"/>
        <scheme val="minor"/>
      </rPr>
      <t xml:space="preserve"> aux PDL déjà début 2021. </t>
    </r>
  </si>
  <si>
    <r>
      <t xml:space="preserve">Amélioration 1.0% augmentation de puissance aux machines SANS </t>
    </r>
    <r>
      <rPr>
        <u/>
        <sz val="11"/>
        <color rgb="FFFF0000"/>
        <rFont val="Calibri"/>
        <family val="2"/>
        <scheme val="minor"/>
      </rPr>
      <t>bridage</t>
    </r>
    <r>
      <rPr>
        <sz val="11"/>
        <color rgb="FFFF0000"/>
        <rFont val="Calibri"/>
        <family val="2"/>
        <scheme val="minor"/>
      </rPr>
      <t xml:space="preserve"> aux PDL déjà début 2021. </t>
    </r>
  </si>
  <si>
    <t>-0,64%/an à cause de la dégradation annuelle de puissance des modules PV  (voir page 59 &amp; 106 du rapport Brome)</t>
  </si>
  <si>
    <t>EVEROZE - BOR014-R-01.G</t>
  </si>
  <si>
    <t>Date de mise en service 01/01/2022. A prévoir pour la suite : -0,5%/an selon rapport EVEROZE</t>
  </si>
  <si>
    <t>UL-FRA-WP21-13829492-01.02</t>
  </si>
  <si>
    <t>Date de mise en service 01/12/2021. A prévoir pour la suite : -0,4%/an selon rapport UL</t>
  </si>
  <si>
    <r>
      <t xml:space="preserve">Amélioration de 0.5% augmentation de puissance aux machines avec </t>
    </r>
    <r>
      <rPr>
        <u/>
        <sz val="11"/>
        <color rgb="FFFF0000"/>
        <rFont val="Calibri"/>
        <family val="2"/>
        <scheme val="minor"/>
      </rPr>
      <t>bridage</t>
    </r>
    <r>
      <rPr>
        <sz val="11"/>
        <color rgb="FFFF0000"/>
        <rFont val="Calibri"/>
        <family val="2"/>
        <scheme val="minor"/>
      </rPr>
      <t xml:space="preserve"> aux PDL déjà début 2021</t>
    </r>
  </si>
  <si>
    <t>Amelioration d'environs 4% entre la situation de bridage agricole plus horaire (~5% de pertes comptabilisés en 2021) et la situation avec IDF (avec ~1% de pertes estimés)</t>
  </si>
  <si>
    <t>Amelioration (seulement 1/2 année, à partir de juin) pour 4% entre la situation de bridage agricole plus horaire (~5% de pertes comptabilisés en 2021) et la situation avec IDF (avec ~1% de pertes estimés)</t>
  </si>
  <si>
    <t>COPIE 
détails ameliorations 2021</t>
  </si>
  <si>
    <r>
      <t xml:space="preserve">Amélioration sur détection de </t>
    </r>
    <r>
      <rPr>
        <sz val="11"/>
        <color rgb="FFFF0000"/>
        <rFont val="Calibri"/>
        <family val="2"/>
        <scheme val="minor"/>
      </rPr>
      <t>givre 1.0% +</t>
    </r>
    <r>
      <rPr>
        <sz val="11"/>
        <color theme="1"/>
        <rFont val="Calibri"/>
        <family val="2"/>
        <scheme val="minor"/>
      </rPr>
      <t>TCU de 0.5% déjà presente en 2020, mais pas integré dans le BP2020 par erreur de saisie.</t>
    </r>
  </si>
  <si>
    <t>moyenne simple</t>
  </si>
  <si>
    <t>HP de debrider mi année 2022 et ne rester que avec le RADAR (les pertes parrerons donc de 11,7% pendant 6 mois à 1% pendant 6 mois).</t>
  </si>
  <si>
    <t>HP de debrider mi année 2022 et ne rester que avec le RADAR (les pertes parrerons donc de 11,2% pendant 6 mois à 1% pendant 6 mois).</t>
  </si>
  <si>
    <t>Amélioration de 0.5% grâce TCU sur BP2021, déjà presente en 2020, mais pas integré dans le BP2020 par erreur de saisie.</t>
  </si>
  <si>
    <t>Bridage acoustique plus fort entre BP2020 et BP2021 -1.4%, bridage avifaune moins fort +1.4% et une amélioration TCU de 0.5% déjà presente en 2020, mais pas integré dans le BP2020 par erreur de saisie.</t>
  </si>
  <si>
    <t>Amélioration de 0.6% grâce PPO déjà intégrée en partie au BP2020, mais bridage chiro plus fort en 2021.</t>
  </si>
  <si>
    <t>Amélioration PPO de +0.3% déjà incluses au BP2020, le plus du BP 2021 porte sur un arrondi</t>
  </si>
  <si>
    <t>Arrondi sur Brome entre BP2020 et 2021, et amélioration PPO de 0.6% (amelioration qui aurait dû être mise au BP2020, mais oublié dans le saisie)</t>
  </si>
  <si>
    <t>Ecart productible P50 2022 vs P50 2021</t>
  </si>
  <si>
    <t>sillage</t>
  </si>
  <si>
    <t>retouche productible</t>
  </si>
  <si>
    <t>nouveau calculs</t>
  </si>
  <si>
    <t>nouveau parc</t>
  </si>
  <si>
    <t>perte productible</t>
  </si>
  <si>
    <t>moyenne ponderée</t>
  </si>
  <si>
    <t>Bridage acoustique dernière étude (%)</t>
  </si>
  <si>
    <t>Bridage avifaune dernière étude (%)</t>
  </si>
  <si>
    <t>Am</t>
  </si>
  <si>
    <t>AP</t>
  </si>
  <si>
    <t>ANCIEN P50 net Etude - avec disponibilité, bridage acoustique et avifaune - tiens compte de la date de mise en service (KWh)</t>
  </si>
  <si>
    <t>Raison modification P50</t>
  </si>
  <si>
    <t>parc 2021</t>
  </si>
  <si>
    <t>parc 2022</t>
  </si>
  <si>
    <t>Ecart % productible P50 2022 vs P50 2022</t>
  </si>
  <si>
    <t>version 0</t>
  </si>
  <si>
    <t>du 21/09/2021</t>
  </si>
  <si>
    <t>à changer si modifs</t>
  </si>
  <si>
    <t>check</t>
  </si>
  <si>
    <t>Productibles 2022 si année année pleine</t>
  </si>
  <si>
    <t>Productibles 2022 si année incomplète</t>
  </si>
  <si>
    <t>ecart BP21 vs BP22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</si>
</sst>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-* #,##0.00_-;\-* #,##0.00_-;_-* &quot;-&quot;??_-;_-@_-"/>
    <numFmt numFmtId="164" formatCode="0.0%"/>
    <numFmt numFmtId="165" formatCode="_-* #,##0_-;\-* #,##0_-;_-* &quot;-&quot;??_-;_-@_-"/>
    <numFmt numFmtId="166" formatCode="0.000"/>
    <numFmt numFmtId="167" formatCode="0.00000000000"/>
    <numFmt numFmtId="168" formatCode="0.000%"/>
    <numFmt numFmtId="169" formatCode="0.00000%"/>
    <numFmt numFmtId="170" formatCode="0.00000000000000%"/>
    <numFmt numFmtId="171" formatCode="0.00000000000000000000000%"/>
    <numFmt numFmtId="172" formatCode="_-* #,##0.0000_-;\-* #,##0.0000_-;_-* &quot;-&quot;??_-;_-@_-"/>
    <numFmt numFmtId="173" formatCode="_-* #,##0.0000\ _€_-;\-* #,##0.0000\ _€_-;_-* &quot;-&quot;????\ _€_-;_-@_-"/>
    <numFmt numFmtId="174" formatCode="_-* #,##0\ _€_-;\-* #,##0\ _€_-;_-* &quot;-&quot;??\ _€_-;_-@_-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rgb="FFFFC000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u/>
      <sz val="11"/>
      <color rgb="FFFF0000"/>
      <name val="Calibri"/>
      <family val="2"/>
      <scheme val="minor"/>
    </font>
    <font>
      <sz val="11"/>
      <color rgb="FF000000"/>
      <name val="Calibri"/>
      <family val="2"/>
    </font>
    <font>
      <sz val="11"/>
      <color theme="4"/>
      <name val="Calibri"/>
      <family val="2"/>
      <scheme val="minor"/>
    </font>
    <font>
      <sz val="11"/>
      <color rgb="FF7030A0"/>
      <name val="Calibri"/>
      <family val="2"/>
      <scheme val="minor"/>
    </font>
    <font>
      <b/>
      <sz val="9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CCCC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lightUp"/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FF"/>
        <bgColor indexed="64"/>
      </patternFill>
    </fill>
    <fill>
      <patternFill patternType="lightDown">
        <bgColor rgb="FFFFC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indexed="64"/>
      </bottom>
      <diagonal/>
    </border>
    <border>
      <left/>
      <right/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97">
    <xf numFmtId="0" fontId="0" fillId="0" borderId="0" xfId="0"/>
    <xf numFmtId="0" fontId="0" fillId="0" borderId="0" xfId="0" applyAlignment="1">
      <alignment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164" fontId="3" fillId="2" borderId="2" xfId="1" applyNumberFormat="1" applyFont="1" applyFill="1" applyBorder="1" applyAlignment="1">
      <alignment horizontal="center" vertical="center" wrapText="1"/>
    </xf>
    <xf numFmtId="164" fontId="4" fillId="2" borderId="2" xfId="0" applyNumberFormat="1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64" fontId="0" fillId="0" borderId="0" xfId="0" applyNumberFormat="1" applyAlignment="1">
      <alignment vertical="center"/>
    </xf>
    <xf numFmtId="0" fontId="0" fillId="0" borderId="0" xfId="0" applyAlignment="1">
      <alignment horizontal="center" vertical="center"/>
    </xf>
    <xf numFmtId="164" fontId="0" fillId="0" borderId="0" xfId="1" applyNumberFormat="1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3" fillId="0" borderId="0" xfId="0" applyFont="1" applyAlignment="1">
      <alignment vertical="center"/>
    </xf>
    <xf numFmtId="0" fontId="0" fillId="0" borderId="0" xfId="0" applyAlignment="1">
      <alignment vertical="center" wrapText="1"/>
    </xf>
    <xf numFmtId="164" fontId="3" fillId="0" borderId="6" xfId="1" applyNumberFormat="1" applyFont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 wrapText="1"/>
    </xf>
    <xf numFmtId="164" fontId="3" fillId="2" borderId="1" xfId="1" applyNumberFormat="1" applyFont="1" applyFill="1" applyBorder="1" applyAlignment="1">
      <alignment horizontal="center" vertical="center" wrapText="1"/>
    </xf>
    <xf numFmtId="164" fontId="3" fillId="2" borderId="3" xfId="1" applyNumberFormat="1" applyFont="1" applyFill="1" applyBorder="1" applyAlignment="1">
      <alignment horizontal="center" vertical="center" wrapText="1"/>
    </xf>
    <xf numFmtId="164" fontId="3" fillId="2" borderId="6" xfId="1" applyNumberFormat="1" applyFont="1" applyFill="1" applyBorder="1" applyAlignment="1">
      <alignment horizontal="center" vertical="center" wrapText="1"/>
    </xf>
    <xf numFmtId="164" fontId="3" fillId="2" borderId="11" xfId="1" applyNumberFormat="1" applyFont="1" applyFill="1" applyBorder="1" applyAlignment="1">
      <alignment horizontal="center" vertical="center" wrapText="1"/>
    </xf>
    <xf numFmtId="164" fontId="0" fillId="0" borderId="12" xfId="1" applyNumberFormat="1" applyFont="1" applyBorder="1" applyAlignment="1">
      <alignment horizontal="center" vertical="center"/>
    </xf>
    <xf numFmtId="165" fontId="0" fillId="0" borderId="12" xfId="2" applyNumberFormat="1" applyFont="1" applyBorder="1" applyAlignment="1">
      <alignment horizontal="center" vertical="center"/>
    </xf>
    <xf numFmtId="165" fontId="0" fillId="0" borderId="8" xfId="2" applyNumberFormat="1" applyFont="1" applyBorder="1" applyAlignment="1">
      <alignment horizontal="center" vertical="center"/>
    </xf>
    <xf numFmtId="165" fontId="0" fillId="0" borderId="8" xfId="2" applyNumberFormat="1" applyFont="1" applyBorder="1" applyAlignment="1">
      <alignment vertical="center"/>
    </xf>
    <xf numFmtId="165" fontId="0" fillId="0" borderId="9" xfId="2" applyNumberFormat="1" applyFont="1" applyBorder="1" applyAlignment="1">
      <alignment horizontal="center" vertical="center"/>
    </xf>
    <xf numFmtId="164" fontId="0" fillId="0" borderId="4" xfId="1" applyNumberFormat="1" applyFont="1" applyBorder="1" applyAlignment="1">
      <alignment horizontal="center" vertical="center"/>
    </xf>
    <xf numFmtId="164" fontId="0" fillId="0" borderId="13" xfId="1" applyNumberFormat="1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64" fontId="0" fillId="0" borderId="5" xfId="1" applyNumberFormat="1" applyFont="1" applyBorder="1" applyAlignment="1">
      <alignment horizontal="center" vertical="center"/>
    </xf>
    <xf numFmtId="164" fontId="0" fillId="0" borderId="14" xfId="1" applyNumberFormat="1" applyFont="1" applyBorder="1" applyAlignment="1">
      <alignment horizontal="center" vertical="center"/>
    </xf>
    <xf numFmtId="164" fontId="0" fillId="0" borderId="0" xfId="1" applyNumberFormat="1" applyFont="1" applyBorder="1" applyAlignment="1">
      <alignment horizontal="center" vertical="center"/>
    </xf>
    <xf numFmtId="164" fontId="0" fillId="0" borderId="13" xfId="1" applyNumberFormat="1" applyFont="1" applyBorder="1" applyAlignment="1">
      <alignment horizontal="center" vertical="center" wrapText="1"/>
    </xf>
    <xf numFmtId="164" fontId="0" fillId="0" borderId="0" xfId="1" applyNumberFormat="1" applyFont="1" applyBorder="1" applyAlignment="1">
      <alignment horizontal="center" vertical="center" wrapText="1"/>
    </xf>
    <xf numFmtId="10" fontId="0" fillId="0" borderId="4" xfId="1" applyNumberFormat="1" applyFont="1" applyBorder="1" applyAlignment="1">
      <alignment horizontal="center" vertical="center"/>
    </xf>
    <xf numFmtId="165" fontId="0" fillId="0" borderId="4" xfId="2" applyNumberFormat="1" applyFont="1" applyBorder="1" applyAlignment="1">
      <alignment horizontal="center" vertical="center"/>
    </xf>
    <xf numFmtId="164" fontId="0" fillId="0" borderId="10" xfId="1" applyNumberFormat="1" applyFont="1" applyBorder="1" applyAlignment="1">
      <alignment horizontal="center" vertical="center"/>
    </xf>
    <xf numFmtId="164" fontId="0" fillId="0" borderId="8" xfId="1" applyNumberFormat="1" applyFont="1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165" fontId="0" fillId="0" borderId="0" xfId="2" applyNumberFormat="1" applyFont="1" applyBorder="1" applyAlignment="1">
      <alignment vertical="center"/>
    </xf>
    <xf numFmtId="0" fontId="0" fillId="0" borderId="13" xfId="0" applyBorder="1" applyAlignment="1">
      <alignment vertical="center"/>
    </xf>
    <xf numFmtId="165" fontId="6" fillId="0" borderId="0" xfId="2" applyNumberFormat="1" applyFont="1" applyBorder="1" applyAlignment="1">
      <alignment vertical="center"/>
    </xf>
    <xf numFmtId="165" fontId="0" fillId="0" borderId="0" xfId="2" applyNumberFormat="1" applyFont="1" applyBorder="1" applyAlignment="1">
      <alignment horizontal="center" vertical="center"/>
    </xf>
    <xf numFmtId="0" fontId="3" fillId="0" borderId="5" xfId="0" applyFont="1" applyBorder="1" applyAlignment="1">
      <alignment vertical="center"/>
    </xf>
    <xf numFmtId="165" fontId="0" fillId="0" borderId="10" xfId="2" applyNumberFormat="1" applyFont="1" applyBorder="1" applyAlignment="1">
      <alignment horizontal="center" vertical="center"/>
    </xf>
    <xf numFmtId="10" fontId="0" fillId="0" borderId="13" xfId="1" applyNumberFormat="1" applyFont="1" applyBorder="1" applyAlignment="1">
      <alignment horizontal="center" vertical="center" wrapText="1"/>
    </xf>
    <xf numFmtId="10" fontId="0" fillId="0" borderId="0" xfId="1" applyNumberFormat="1" applyFont="1" applyBorder="1" applyAlignment="1">
      <alignment horizontal="center" vertical="center" wrapText="1"/>
    </xf>
    <xf numFmtId="10" fontId="0" fillId="0" borderId="0" xfId="1" applyNumberFormat="1" applyFont="1" applyBorder="1" applyAlignment="1">
      <alignment horizontal="center" vertical="center"/>
    </xf>
    <xf numFmtId="164" fontId="0" fillId="0" borderId="16" xfId="1" applyNumberFormat="1" applyFont="1" applyBorder="1" applyAlignment="1">
      <alignment horizontal="center" vertical="center"/>
    </xf>
    <xf numFmtId="165" fontId="0" fillId="0" borderId="0" xfId="2" applyNumberFormat="1" applyFont="1" applyBorder="1" applyAlignment="1">
      <alignment horizontal="right" vertical="center"/>
    </xf>
    <xf numFmtId="0" fontId="0" fillId="0" borderId="17" xfId="0" applyBorder="1" applyAlignment="1">
      <alignment vertical="center"/>
    </xf>
    <xf numFmtId="0" fontId="4" fillId="0" borderId="10" xfId="0" applyFont="1" applyBorder="1" applyAlignment="1">
      <alignment vertical="center"/>
    </xf>
    <xf numFmtId="164" fontId="0" fillId="0" borderId="18" xfId="1" applyNumberFormat="1" applyFont="1" applyBorder="1" applyAlignment="1">
      <alignment horizontal="center" vertical="center"/>
    </xf>
    <xf numFmtId="165" fontId="0" fillId="0" borderId="18" xfId="2" applyNumberFormat="1" applyFont="1" applyBorder="1" applyAlignment="1">
      <alignment horizontal="center" vertical="center"/>
    </xf>
    <xf numFmtId="165" fontId="6" fillId="0" borderId="8" xfId="2" applyNumberFormat="1" applyFont="1" applyBorder="1" applyAlignment="1">
      <alignment horizontal="center" vertical="center"/>
    </xf>
    <xf numFmtId="165" fontId="0" fillId="0" borderId="15" xfId="2" applyNumberFormat="1" applyFont="1" applyFill="1" applyBorder="1" applyAlignment="1">
      <alignment horizontal="center" vertical="center"/>
    </xf>
    <xf numFmtId="166" fontId="0" fillId="0" borderId="0" xfId="0" applyNumberFormat="1"/>
    <xf numFmtId="167" fontId="0" fillId="0" borderId="0" xfId="0" applyNumberFormat="1"/>
    <xf numFmtId="169" fontId="0" fillId="0" borderId="0" xfId="0" applyNumberFormat="1"/>
    <xf numFmtId="170" fontId="0" fillId="0" borderId="0" xfId="0" applyNumberFormat="1"/>
    <xf numFmtId="171" fontId="0" fillId="0" borderId="0" xfId="0" applyNumberFormat="1"/>
    <xf numFmtId="168" fontId="0" fillId="0" borderId="0" xfId="1" applyNumberFormat="1" applyFont="1"/>
    <xf numFmtId="168" fontId="0" fillId="0" borderId="0" xfId="0" applyNumberFormat="1" applyAlignment="1">
      <alignment horizontal="center" vertical="center"/>
    </xf>
    <xf numFmtId="0" fontId="3" fillId="0" borderId="0" xfId="0" applyFont="1"/>
    <xf numFmtId="0" fontId="9" fillId="0" borderId="0" xfId="0" applyFont="1"/>
    <xf numFmtId="10" fontId="0" fillId="0" borderId="12" xfId="1" applyNumberFormat="1" applyFont="1" applyBorder="1" applyAlignment="1">
      <alignment horizontal="center" vertical="center"/>
    </xf>
    <xf numFmtId="164" fontId="0" fillId="0" borderId="8" xfId="1" applyNumberFormat="1" applyFont="1" applyFill="1" applyBorder="1" applyAlignment="1">
      <alignment horizontal="center" vertical="center"/>
    </xf>
    <xf numFmtId="164" fontId="0" fillId="0" borderId="13" xfId="1" applyNumberFormat="1" applyFont="1" applyFill="1" applyBorder="1" applyAlignment="1">
      <alignment horizontal="center" vertical="center" wrapText="1"/>
    </xf>
    <xf numFmtId="164" fontId="0" fillId="0" borderId="13" xfId="1" applyNumberFormat="1" applyFont="1" applyFill="1" applyBorder="1" applyAlignment="1">
      <alignment horizontal="center" vertical="center"/>
    </xf>
    <xf numFmtId="164" fontId="10" fillId="2" borderId="2" xfId="0" applyNumberFormat="1" applyFont="1" applyFill="1" applyBorder="1" applyAlignment="1">
      <alignment horizontal="center" vertical="center" wrapText="1"/>
    </xf>
    <xf numFmtId="165" fontId="0" fillId="0" borderId="4" xfId="2" applyNumberFormat="1" applyFont="1" applyBorder="1" applyAlignment="1">
      <alignment vertical="center"/>
    </xf>
    <xf numFmtId="165" fontId="6" fillId="0" borderId="4" xfId="2" applyNumberFormat="1" applyFont="1" applyBorder="1" applyAlignment="1">
      <alignment horizontal="center" vertical="center"/>
    </xf>
    <xf numFmtId="165" fontId="0" fillId="0" borderId="0" xfId="2" applyNumberFormat="1" applyFont="1" applyFill="1" applyBorder="1" applyAlignment="1">
      <alignment horizontal="center" vertical="center"/>
    </xf>
    <xf numFmtId="165" fontId="0" fillId="0" borderId="5" xfId="2" applyNumberFormat="1" applyFont="1" applyBorder="1" applyAlignment="1">
      <alignment horizontal="center" vertical="center"/>
    </xf>
    <xf numFmtId="0" fontId="0" fillId="0" borderId="0" xfId="0" applyProtection="1">
      <protection locked="0"/>
    </xf>
    <xf numFmtId="0" fontId="3" fillId="2" borderId="19" xfId="0" applyFont="1" applyFill="1" applyBorder="1" applyAlignment="1" applyProtection="1">
      <alignment horizontal="center" vertical="center" wrapText="1"/>
      <protection locked="0"/>
    </xf>
    <xf numFmtId="0" fontId="3" fillId="2" borderId="20" xfId="0" applyFont="1" applyFill="1" applyBorder="1" applyAlignment="1" applyProtection="1">
      <alignment horizontal="center" vertical="center" wrapText="1"/>
      <protection locked="0"/>
    </xf>
    <xf numFmtId="165" fontId="0" fillId="0" borderId="21" xfId="0" applyNumberFormat="1" applyBorder="1" applyAlignment="1" applyProtection="1">
      <alignment vertical="center" wrapText="1"/>
      <protection locked="0"/>
    </xf>
    <xf numFmtId="164" fontId="0" fillId="0" borderId="0" xfId="1" applyNumberFormat="1" applyFont="1" applyBorder="1" applyAlignment="1" applyProtection="1">
      <alignment vertical="center" wrapText="1"/>
      <protection locked="0"/>
    </xf>
    <xf numFmtId="164" fontId="0" fillId="0" borderId="0" xfId="1" applyNumberFormat="1" applyFont="1" applyBorder="1" applyProtection="1">
      <protection locked="0"/>
    </xf>
    <xf numFmtId="164" fontId="0" fillId="0" borderId="0" xfId="1" applyNumberFormat="1" applyFont="1" applyBorder="1" applyAlignment="1" applyProtection="1">
      <alignment vertical="center"/>
      <protection locked="0"/>
    </xf>
    <xf numFmtId="0" fontId="0" fillId="0" borderId="0" xfId="0" applyAlignment="1" applyProtection="1">
      <alignment vertical="center"/>
      <protection locked="0"/>
    </xf>
    <xf numFmtId="0" fontId="0" fillId="0" borderId="22" xfId="0" applyBorder="1" applyAlignment="1" applyProtection="1">
      <alignment vertical="center" wrapText="1"/>
      <protection locked="0"/>
    </xf>
    <xf numFmtId="165" fontId="0" fillId="0" borderId="23" xfId="0" applyNumberFormat="1" applyBorder="1" applyAlignment="1" applyProtection="1">
      <alignment vertical="center" wrapText="1"/>
      <protection locked="0"/>
    </xf>
    <xf numFmtId="164" fontId="0" fillId="0" borderId="24" xfId="1" applyNumberFormat="1" applyFont="1" applyBorder="1" applyAlignment="1" applyProtection="1">
      <alignment vertical="center" wrapText="1"/>
      <protection locked="0"/>
    </xf>
    <xf numFmtId="165" fontId="0" fillId="0" borderId="24" xfId="0" applyNumberFormat="1" applyBorder="1" applyProtection="1">
      <protection locked="0"/>
    </xf>
    <xf numFmtId="164" fontId="0" fillId="0" borderId="24" xfId="1" applyNumberFormat="1" applyFont="1" applyBorder="1" applyProtection="1">
      <protection locked="0"/>
    </xf>
    <xf numFmtId="0" fontId="0" fillId="0" borderId="0" xfId="0" applyAlignment="1" applyProtection="1">
      <alignment vertical="center" wrapText="1"/>
      <protection locked="0"/>
    </xf>
    <xf numFmtId="165" fontId="0" fillId="0" borderId="0" xfId="0" applyNumberFormat="1" applyAlignment="1">
      <alignment vertical="center"/>
    </xf>
    <xf numFmtId="10" fontId="0" fillId="0" borderId="8" xfId="1" applyNumberFormat="1" applyFont="1" applyBorder="1" applyAlignment="1">
      <alignment horizontal="center" vertical="center"/>
    </xf>
    <xf numFmtId="0" fontId="0" fillId="0" borderId="22" xfId="0" applyBorder="1" applyAlignment="1" applyProtection="1">
      <alignment vertical="center"/>
      <protection locked="0"/>
    </xf>
    <xf numFmtId="0" fontId="6" fillId="0" borderId="22" xfId="0" applyFont="1" applyBorder="1" applyAlignment="1" applyProtection="1">
      <alignment vertical="center"/>
      <protection locked="0"/>
    </xf>
    <xf numFmtId="0" fontId="0" fillId="0" borderId="25" xfId="0" applyBorder="1" applyAlignment="1" applyProtection="1">
      <alignment vertical="center"/>
      <protection locked="0"/>
    </xf>
    <xf numFmtId="0" fontId="0" fillId="3" borderId="0" xfId="0" applyFill="1"/>
    <xf numFmtId="0" fontId="3" fillId="3" borderId="20" xfId="0" applyFont="1" applyFill="1" applyBorder="1" applyAlignment="1" applyProtection="1">
      <alignment horizontal="center" vertical="center" wrapText="1"/>
      <protection locked="0"/>
    </xf>
    <xf numFmtId="0" fontId="0" fillId="4" borderId="0" xfId="0" applyFill="1"/>
    <xf numFmtId="164" fontId="1" fillId="0" borderId="13" xfId="1" applyNumberFormat="1" applyFont="1" applyFill="1" applyBorder="1" applyAlignment="1">
      <alignment horizontal="center" vertical="center"/>
    </xf>
    <xf numFmtId="165" fontId="0" fillId="0" borderId="0" xfId="0" applyNumberFormat="1" applyProtection="1">
      <protection locked="0"/>
    </xf>
    <xf numFmtId="164" fontId="5" fillId="3" borderId="13" xfId="1" applyNumberFormat="1" applyFont="1" applyFill="1" applyBorder="1" applyAlignment="1">
      <alignment horizontal="center" vertical="center"/>
    </xf>
    <xf numFmtId="165" fontId="5" fillId="3" borderId="8" xfId="2" applyNumberFormat="1" applyFont="1" applyFill="1" applyBorder="1" applyAlignment="1">
      <alignment horizontal="center" vertical="center"/>
    </xf>
    <xf numFmtId="0" fontId="3" fillId="5" borderId="0" xfId="0" applyFont="1" applyFill="1" applyAlignment="1">
      <alignment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5" fillId="3" borderId="0" xfId="0" applyFont="1" applyFill="1" applyAlignment="1" applyProtection="1">
      <alignment vertical="center"/>
      <protection locked="0"/>
    </xf>
    <xf numFmtId="0" fontId="5" fillId="0" borderId="22" xfId="0" applyFont="1" applyBorder="1" applyAlignment="1" applyProtection="1">
      <alignment vertical="center"/>
      <protection locked="0"/>
    </xf>
    <xf numFmtId="165" fontId="0" fillId="0" borderId="0" xfId="0" applyNumberFormat="1" applyAlignment="1" applyProtection="1">
      <alignment vertical="center"/>
      <protection locked="0"/>
    </xf>
    <xf numFmtId="164" fontId="5" fillId="3" borderId="8" xfId="1" applyNumberFormat="1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6" fillId="0" borderId="0" xfId="0" applyFont="1" applyAlignment="1" applyProtection="1">
      <alignment vertical="center"/>
      <protection locked="0"/>
    </xf>
    <xf numFmtId="0" fontId="7" fillId="0" borderId="0" xfId="0" applyFont="1" applyAlignment="1">
      <alignment vertical="center"/>
    </xf>
    <xf numFmtId="0" fontId="5" fillId="0" borderId="0" xfId="0" applyFont="1" applyAlignment="1" applyProtection="1">
      <alignment vertical="center"/>
      <protection locked="0"/>
    </xf>
    <xf numFmtId="164" fontId="0" fillId="3" borderId="8" xfId="1" applyNumberFormat="1" applyFont="1" applyFill="1" applyBorder="1" applyAlignment="1">
      <alignment horizontal="center" vertical="center"/>
    </xf>
    <xf numFmtId="172" fontId="0" fillId="0" borderId="8" xfId="2" applyNumberFormat="1" applyFont="1" applyBorder="1" applyAlignment="1">
      <alignment horizontal="center" vertical="center"/>
    </xf>
    <xf numFmtId="0" fontId="0" fillId="4" borderId="0" xfId="0" applyFill="1" applyAlignment="1">
      <alignment vertical="center"/>
    </xf>
    <xf numFmtId="0" fontId="3" fillId="4" borderId="0" xfId="0" applyFont="1" applyFill="1" applyAlignment="1">
      <alignment vertical="center"/>
    </xf>
    <xf numFmtId="168" fontId="0" fillId="0" borderId="0" xfId="1" applyNumberFormat="1" applyFont="1" applyAlignment="1">
      <alignment horizontal="center" vertical="center"/>
    </xf>
    <xf numFmtId="164" fontId="5" fillId="6" borderId="13" xfId="1" applyNumberFormat="1" applyFont="1" applyFill="1" applyBorder="1" applyAlignment="1">
      <alignment horizontal="center" vertical="center"/>
    </xf>
    <xf numFmtId="0" fontId="5" fillId="6" borderId="0" xfId="0" applyFont="1" applyFill="1" applyAlignment="1" applyProtection="1">
      <alignment vertical="center"/>
      <protection locked="0"/>
    </xf>
    <xf numFmtId="165" fontId="0" fillId="3" borderId="4" xfId="2" applyNumberFormat="1" applyFont="1" applyFill="1" applyBorder="1" applyAlignment="1">
      <alignment horizontal="center" vertical="center"/>
    </xf>
    <xf numFmtId="165" fontId="0" fillId="0" borderId="0" xfId="2" applyNumberFormat="1" applyFont="1"/>
    <xf numFmtId="172" fontId="0" fillId="0" borderId="0" xfId="2" applyNumberFormat="1" applyFont="1" applyAlignment="1">
      <alignment horizontal="center" vertical="center"/>
    </xf>
    <xf numFmtId="173" fontId="0" fillId="0" borderId="0" xfId="0" applyNumberFormat="1" applyAlignment="1">
      <alignment horizontal="center" vertical="center"/>
    </xf>
    <xf numFmtId="0" fontId="5" fillId="0" borderId="0" xfId="0" applyFont="1" applyAlignment="1">
      <alignment wrapText="1"/>
    </xf>
    <xf numFmtId="164" fontId="0" fillId="0" borderId="0" xfId="1" applyNumberFormat="1" applyFont="1" applyFill="1" applyBorder="1" applyAlignment="1">
      <alignment horizontal="center" vertical="center"/>
    </xf>
    <xf numFmtId="164" fontId="1" fillId="0" borderId="0" xfId="1" applyNumberFormat="1" applyFont="1" applyFill="1" applyBorder="1" applyAlignment="1">
      <alignment horizontal="center" vertical="center"/>
    </xf>
    <xf numFmtId="164" fontId="5" fillId="3" borderId="0" xfId="1" applyNumberFormat="1" applyFont="1" applyFill="1" applyBorder="1" applyAlignment="1">
      <alignment horizontal="center" vertical="center"/>
    </xf>
    <xf numFmtId="164" fontId="5" fillId="6" borderId="0" xfId="1" applyNumberFormat="1" applyFont="1" applyFill="1" applyBorder="1" applyAlignment="1">
      <alignment horizontal="center" vertical="center"/>
    </xf>
    <xf numFmtId="164" fontId="5" fillId="0" borderId="13" xfId="1" applyNumberFormat="1" applyFont="1" applyFill="1" applyBorder="1" applyAlignment="1">
      <alignment horizontal="center" vertical="center"/>
    </xf>
    <xf numFmtId="164" fontId="0" fillId="0" borderId="14" xfId="1" applyNumberFormat="1" applyFont="1" applyFill="1" applyBorder="1" applyAlignment="1">
      <alignment horizontal="center" vertical="center"/>
    </xf>
    <xf numFmtId="164" fontId="0" fillId="0" borderId="0" xfId="1" applyNumberFormat="1" applyFont="1" applyFill="1" applyBorder="1" applyAlignment="1">
      <alignment horizontal="center" vertical="center" wrapText="1"/>
    </xf>
    <xf numFmtId="165" fontId="0" fillId="7" borderId="0" xfId="2" applyNumberFormat="1" applyFont="1" applyFill="1" applyBorder="1" applyAlignment="1">
      <alignment vertical="center"/>
    </xf>
    <xf numFmtId="0" fontId="0" fillId="7" borderId="13" xfId="0" applyFill="1" applyBorder="1" applyAlignment="1">
      <alignment vertical="center"/>
    </xf>
    <xf numFmtId="165" fontId="0" fillId="7" borderId="8" xfId="2" applyNumberFormat="1" applyFont="1" applyFill="1" applyBorder="1" applyAlignment="1">
      <alignment horizontal="center" vertical="center"/>
    </xf>
    <xf numFmtId="165" fontId="0" fillId="7" borderId="4" xfId="2" applyNumberFormat="1" applyFont="1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164" fontId="1" fillId="7" borderId="0" xfId="1" applyNumberFormat="1" applyFont="1" applyFill="1" applyBorder="1" applyAlignment="1">
      <alignment horizontal="center" vertical="center"/>
    </xf>
    <xf numFmtId="164" fontId="1" fillId="7" borderId="13" xfId="1" applyNumberFormat="1" applyFont="1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7" borderId="13" xfId="0" applyFill="1" applyBorder="1" applyAlignment="1">
      <alignment horizontal="center" vertical="center"/>
    </xf>
    <xf numFmtId="164" fontId="0" fillId="7" borderId="4" xfId="1" applyNumberFormat="1" applyFont="1" applyFill="1" applyBorder="1" applyAlignment="1">
      <alignment horizontal="center" vertical="center"/>
    </xf>
    <xf numFmtId="164" fontId="0" fillId="7" borderId="13" xfId="1" applyNumberFormat="1" applyFont="1" applyFill="1" applyBorder="1" applyAlignment="1">
      <alignment horizontal="center" vertical="center"/>
    </xf>
    <xf numFmtId="165" fontId="0" fillId="7" borderId="21" xfId="0" applyNumberFormat="1" applyFill="1" applyBorder="1" applyAlignment="1" applyProtection="1">
      <alignment vertical="center" wrapText="1"/>
      <protection locked="0"/>
    </xf>
    <xf numFmtId="164" fontId="0" fillId="7" borderId="0" xfId="1" applyNumberFormat="1" applyFont="1" applyFill="1" applyBorder="1" applyAlignment="1" applyProtection="1">
      <alignment vertical="center" wrapText="1"/>
      <protection locked="0"/>
    </xf>
    <xf numFmtId="164" fontId="0" fillId="7" borderId="0" xfId="1" applyNumberFormat="1" applyFont="1" applyFill="1" applyBorder="1" applyProtection="1">
      <protection locked="0"/>
    </xf>
    <xf numFmtId="0" fontId="0" fillId="7" borderId="22" xfId="0" applyFill="1" applyBorder="1" applyAlignment="1" applyProtection="1">
      <alignment vertical="center"/>
      <protection locked="0"/>
    </xf>
    <xf numFmtId="164" fontId="0" fillId="7" borderId="0" xfId="1" applyNumberFormat="1" applyFont="1" applyFill="1" applyBorder="1" applyAlignment="1">
      <alignment horizontal="center" vertical="center"/>
    </xf>
    <xf numFmtId="164" fontId="0" fillId="7" borderId="12" xfId="1" applyNumberFormat="1" applyFont="1" applyFill="1" applyBorder="1" applyAlignment="1">
      <alignment horizontal="center" vertical="center"/>
    </xf>
    <xf numFmtId="164" fontId="6" fillId="0" borderId="4" xfId="1" applyNumberFormat="1" applyFont="1" applyFill="1" applyBorder="1" applyAlignment="1">
      <alignment horizontal="center" vertical="center"/>
    </xf>
    <xf numFmtId="165" fontId="0" fillId="0" borderId="13" xfId="2" applyNumberFormat="1" applyFont="1" applyBorder="1" applyAlignment="1">
      <alignment horizontal="center" vertical="center"/>
    </xf>
    <xf numFmtId="165" fontId="0" fillId="7" borderId="13" xfId="2" applyNumberFormat="1" applyFont="1" applyFill="1" applyBorder="1" applyAlignment="1">
      <alignment horizontal="center" vertical="center"/>
    </xf>
    <xf numFmtId="164" fontId="10" fillId="4" borderId="6" xfId="0" applyNumberFormat="1" applyFont="1" applyFill="1" applyBorder="1" applyAlignment="1">
      <alignment horizontal="center" vertical="center" wrapText="1"/>
    </xf>
    <xf numFmtId="164" fontId="10" fillId="2" borderId="6" xfId="0" applyNumberFormat="1" applyFont="1" applyFill="1" applyBorder="1" applyAlignment="1">
      <alignment horizontal="center" vertical="center" wrapText="1"/>
    </xf>
    <xf numFmtId="165" fontId="0" fillId="3" borderId="13" xfId="2" applyNumberFormat="1" applyFont="1" applyFill="1" applyBorder="1" applyAlignment="1">
      <alignment horizontal="center" vertical="center"/>
    </xf>
    <xf numFmtId="165" fontId="6" fillId="0" borderId="13" xfId="2" applyNumberFormat="1" applyFont="1" applyBorder="1" applyAlignment="1">
      <alignment horizontal="center" vertical="center"/>
    </xf>
    <xf numFmtId="165" fontId="6" fillId="3" borderId="13" xfId="2" applyNumberFormat="1" applyFont="1" applyFill="1" applyBorder="1" applyAlignment="1">
      <alignment horizontal="center" vertical="center"/>
    </xf>
    <xf numFmtId="165" fontId="6" fillId="7" borderId="13" xfId="2" applyNumberFormat="1" applyFont="1" applyFill="1" applyBorder="1" applyAlignment="1">
      <alignment horizontal="center" vertical="center"/>
    </xf>
    <xf numFmtId="0" fontId="3" fillId="2" borderId="29" xfId="0" applyFont="1" applyFill="1" applyBorder="1" applyAlignment="1" applyProtection="1">
      <alignment horizontal="center" vertical="center" wrapText="1"/>
      <protection locked="0"/>
    </xf>
    <xf numFmtId="0" fontId="3" fillId="2" borderId="2" xfId="0" applyFont="1" applyFill="1" applyBorder="1" applyAlignment="1" applyProtection="1">
      <alignment horizontal="center" vertical="center" wrapText="1"/>
      <protection locked="0"/>
    </xf>
    <xf numFmtId="0" fontId="3" fillId="3" borderId="3" xfId="0" applyFont="1" applyFill="1" applyBorder="1" applyAlignment="1" applyProtection="1">
      <alignment horizontal="center" vertical="center" wrapText="1"/>
      <protection locked="0"/>
    </xf>
    <xf numFmtId="0" fontId="0" fillId="0" borderId="13" xfId="0" applyBorder="1" applyAlignment="1" applyProtection="1">
      <alignment vertical="center"/>
      <protection locked="0"/>
    </xf>
    <xf numFmtId="0" fontId="5" fillId="3" borderId="13" xfId="0" applyFont="1" applyFill="1" applyBorder="1" applyAlignment="1" applyProtection="1">
      <alignment vertical="center"/>
      <protection locked="0"/>
    </xf>
    <xf numFmtId="0" fontId="0" fillId="7" borderId="0" xfId="0" applyFill="1" applyAlignment="1">
      <alignment vertical="center" wrapText="1"/>
    </xf>
    <xf numFmtId="165" fontId="0" fillId="7" borderId="0" xfId="0" applyNumberFormat="1" applyFill="1" applyProtection="1">
      <protection locked="0"/>
    </xf>
    <xf numFmtId="0" fontId="0" fillId="7" borderId="13" xfId="0" applyFill="1" applyBorder="1" applyAlignment="1" applyProtection="1">
      <alignment vertical="center"/>
      <protection locked="0"/>
    </xf>
    <xf numFmtId="0" fontId="5" fillId="6" borderId="13" xfId="0" applyFont="1" applyFill="1" applyBorder="1" applyAlignment="1" applyProtection="1">
      <alignment vertical="center"/>
      <protection locked="0"/>
    </xf>
    <xf numFmtId="0" fontId="6" fillId="0" borderId="13" xfId="0" applyFont="1" applyBorder="1" applyAlignment="1" applyProtection="1">
      <alignment vertical="center"/>
      <protection locked="0"/>
    </xf>
    <xf numFmtId="0" fontId="0" fillId="0" borderId="13" xfId="0" applyBorder="1" applyAlignment="1">
      <alignment vertical="center" wrapText="1"/>
    </xf>
    <xf numFmtId="0" fontId="5" fillId="0" borderId="13" xfId="0" applyFont="1" applyBorder="1" applyAlignment="1" applyProtection="1">
      <alignment vertical="center"/>
      <protection locked="0"/>
    </xf>
    <xf numFmtId="165" fontId="0" fillId="0" borderId="14" xfId="2" applyNumberFormat="1" applyFont="1" applyBorder="1" applyAlignment="1">
      <alignment horizontal="center" vertical="center"/>
    </xf>
    <xf numFmtId="0" fontId="0" fillId="0" borderId="10" xfId="0" applyBorder="1" applyAlignment="1">
      <alignment vertical="center" wrapText="1"/>
    </xf>
    <xf numFmtId="165" fontId="0" fillId="0" borderId="30" xfId="0" applyNumberFormat="1" applyBorder="1" applyAlignment="1" applyProtection="1">
      <alignment vertical="center" wrapText="1"/>
      <protection locked="0"/>
    </xf>
    <xf numFmtId="164" fontId="0" fillId="0" borderId="10" xfId="1" applyNumberFormat="1" applyFont="1" applyBorder="1" applyAlignment="1" applyProtection="1">
      <alignment vertical="center" wrapText="1"/>
      <protection locked="0"/>
    </xf>
    <xf numFmtId="165" fontId="0" fillId="0" borderId="10" xfId="0" applyNumberFormat="1" applyBorder="1" applyProtection="1">
      <protection locked="0"/>
    </xf>
    <xf numFmtId="164" fontId="0" fillId="0" borderId="10" xfId="1" applyNumberFormat="1" applyFont="1" applyBorder="1" applyProtection="1">
      <protection locked="0"/>
    </xf>
    <xf numFmtId="0" fontId="0" fillId="0" borderId="31" xfId="0" applyBorder="1" applyAlignment="1" applyProtection="1">
      <alignment vertical="center"/>
      <protection locked="0"/>
    </xf>
    <xf numFmtId="0" fontId="0" fillId="0" borderId="14" xfId="0" applyBorder="1" applyAlignment="1" applyProtection="1">
      <alignment vertical="center"/>
      <protection locked="0"/>
    </xf>
    <xf numFmtId="164" fontId="0" fillId="0" borderId="28" xfId="0" applyNumberFormat="1" applyBorder="1" applyAlignment="1">
      <alignment vertical="center"/>
    </xf>
    <xf numFmtId="0" fontId="0" fillId="0" borderId="28" xfId="0" applyBorder="1" applyAlignment="1">
      <alignment vertical="center"/>
    </xf>
    <xf numFmtId="0" fontId="0" fillId="0" borderId="28" xfId="0" applyBorder="1" applyAlignment="1">
      <alignment vertical="center" wrapText="1"/>
    </xf>
    <xf numFmtId="0" fontId="0" fillId="0" borderId="27" xfId="0" applyBorder="1" applyAlignment="1" applyProtection="1">
      <alignment vertical="center"/>
      <protection locked="0"/>
    </xf>
    <xf numFmtId="0" fontId="10" fillId="0" borderId="8" xfId="0" applyFont="1" applyBorder="1" applyAlignment="1">
      <alignment vertical="center"/>
    </xf>
    <xf numFmtId="0" fontId="10" fillId="5" borderId="8" xfId="0" applyFont="1" applyFill="1" applyBorder="1" applyAlignment="1">
      <alignment vertical="center"/>
    </xf>
    <xf numFmtId="0" fontId="10" fillId="7" borderId="8" xfId="0" applyFont="1" applyFill="1" applyBorder="1" applyAlignment="1">
      <alignment vertical="center"/>
    </xf>
    <xf numFmtId="0" fontId="10" fillId="0" borderId="9" xfId="0" applyFont="1" applyBorder="1" applyAlignment="1">
      <alignment vertical="center"/>
    </xf>
    <xf numFmtId="165" fontId="3" fillId="0" borderId="0" xfId="0" applyNumberFormat="1" applyFont="1" applyAlignment="1">
      <alignment vertical="center"/>
    </xf>
    <xf numFmtId="0" fontId="3" fillId="0" borderId="0" xfId="0" applyFont="1" applyAlignment="1">
      <alignment horizontal="center" vertical="center"/>
    </xf>
    <xf numFmtId="164" fontId="3" fillId="0" borderId="0" xfId="1" applyNumberFormat="1" applyFont="1" applyAlignment="1">
      <alignment horizontal="center" vertical="center"/>
    </xf>
    <xf numFmtId="0" fontId="3" fillId="0" borderId="0" xfId="0" applyFont="1" applyAlignment="1">
      <alignment vertical="center" wrapText="1"/>
    </xf>
    <xf numFmtId="0" fontId="3" fillId="0" borderId="0" xfId="0" applyFont="1" applyAlignment="1" applyProtection="1">
      <alignment vertical="center" wrapText="1"/>
      <protection locked="0"/>
    </xf>
    <xf numFmtId="0" fontId="3" fillId="0" borderId="0" xfId="0" applyFont="1" applyProtection="1">
      <protection locked="0"/>
    </xf>
    <xf numFmtId="0" fontId="3" fillId="0" borderId="0" xfId="0" applyFont="1" applyAlignment="1" applyProtection="1">
      <alignment vertical="center"/>
      <protection locked="0"/>
    </xf>
    <xf numFmtId="165" fontId="0" fillId="7" borderId="0" xfId="2" applyNumberFormat="1" applyFont="1" applyFill="1" applyBorder="1" applyAlignment="1">
      <alignment horizontal="center" vertical="center"/>
    </xf>
    <xf numFmtId="165" fontId="0" fillId="0" borderId="8" xfId="2" applyNumberFormat="1" applyFont="1" applyFill="1" applyBorder="1" applyAlignment="1">
      <alignment horizontal="center" vertical="center"/>
    </xf>
    <xf numFmtId="165" fontId="0" fillId="0" borderId="9" xfId="2" applyNumberFormat="1" applyFont="1" applyFill="1" applyBorder="1" applyAlignment="1">
      <alignment horizontal="center" vertical="center"/>
    </xf>
    <xf numFmtId="0" fontId="0" fillId="0" borderId="13" xfId="2" applyNumberFormat="1" applyFont="1" applyBorder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3" fillId="9" borderId="0" xfId="0" applyFont="1" applyFill="1" applyAlignment="1">
      <alignment horizontal="center" vertical="center" wrapText="1"/>
    </xf>
    <xf numFmtId="164" fontId="0" fillId="9" borderId="13" xfId="1" applyNumberFormat="1" applyFont="1" applyFill="1" applyBorder="1" applyAlignment="1">
      <alignment horizontal="center" vertical="center"/>
    </xf>
    <xf numFmtId="164" fontId="0" fillId="9" borderId="14" xfId="1" applyNumberFormat="1" applyFont="1" applyFill="1" applyBorder="1" applyAlignment="1">
      <alignment horizontal="center" vertical="center"/>
    </xf>
    <xf numFmtId="0" fontId="0" fillId="9" borderId="0" xfId="0" applyFill="1"/>
    <xf numFmtId="164" fontId="1" fillId="9" borderId="13" xfId="1" applyNumberFormat="1" applyFont="1" applyFill="1" applyBorder="1" applyAlignment="1">
      <alignment horizontal="center" vertical="center"/>
    </xf>
    <xf numFmtId="164" fontId="5" fillId="9" borderId="13" xfId="1" applyNumberFormat="1" applyFont="1" applyFill="1" applyBorder="1" applyAlignment="1">
      <alignment horizontal="center" vertical="center"/>
    </xf>
    <xf numFmtId="164" fontId="1" fillId="9" borderId="0" xfId="1" applyNumberFormat="1" applyFont="1" applyFill="1" applyBorder="1" applyAlignment="1">
      <alignment horizontal="center" vertical="center"/>
    </xf>
    <xf numFmtId="10" fontId="0" fillId="9" borderId="13" xfId="1" applyNumberFormat="1" applyFont="1" applyFill="1" applyBorder="1" applyAlignment="1">
      <alignment horizontal="center" vertical="center"/>
    </xf>
    <xf numFmtId="164" fontId="5" fillId="0" borderId="0" xfId="1" applyNumberFormat="1" applyFont="1" applyBorder="1" applyAlignment="1">
      <alignment horizontal="center" vertical="center"/>
    </xf>
    <xf numFmtId="164" fontId="5" fillId="0" borderId="13" xfId="1" applyNumberFormat="1" applyFont="1" applyBorder="1" applyAlignment="1">
      <alignment horizontal="center" vertical="center"/>
    </xf>
    <xf numFmtId="10" fontId="5" fillId="3" borderId="13" xfId="1" applyNumberFormat="1" applyFont="1" applyFill="1" applyBorder="1" applyAlignment="1">
      <alignment horizontal="center" vertical="center"/>
    </xf>
    <xf numFmtId="0" fontId="5" fillId="3" borderId="22" xfId="0" applyFont="1" applyFill="1" applyBorder="1" applyAlignment="1" applyProtection="1">
      <alignment vertical="center"/>
      <protection locked="0"/>
    </xf>
    <xf numFmtId="0" fontId="0" fillId="0" borderId="22" xfId="0" applyBorder="1" applyAlignment="1" applyProtection="1">
      <alignment horizontal="center" vertical="center"/>
      <protection locked="0"/>
    </xf>
    <xf numFmtId="10" fontId="0" fillId="0" borderId="0" xfId="1" applyNumberFormat="1" applyFont="1" applyAlignment="1">
      <alignment horizontal="center" vertical="center"/>
    </xf>
    <xf numFmtId="168" fontId="0" fillId="0" borderId="0" xfId="0" applyNumberFormat="1"/>
    <xf numFmtId="10" fontId="5" fillId="0" borderId="0" xfId="1" applyNumberFormat="1" applyFont="1" applyBorder="1" applyAlignment="1">
      <alignment horizontal="center" vertical="center" wrapText="1"/>
    </xf>
    <xf numFmtId="10" fontId="5" fillId="0" borderId="13" xfId="1" applyNumberFormat="1" applyFont="1" applyBorder="1" applyAlignment="1">
      <alignment horizontal="center" vertical="center"/>
    </xf>
    <xf numFmtId="10" fontId="5" fillId="3" borderId="0" xfId="1" applyNumberFormat="1" applyFont="1" applyFill="1" applyBorder="1" applyAlignment="1">
      <alignment horizontal="center" vertical="center" wrapText="1"/>
    </xf>
    <xf numFmtId="10" fontId="5" fillId="0" borderId="13" xfId="1" applyNumberFormat="1" applyFont="1" applyFill="1" applyBorder="1" applyAlignment="1">
      <alignment horizontal="center" vertical="center" wrapText="1"/>
    </xf>
    <xf numFmtId="168" fontId="14" fillId="0" borderId="0" xfId="0" applyNumberFormat="1" applyFont="1" applyAlignment="1">
      <alignment horizontal="center"/>
    </xf>
    <xf numFmtId="10" fontId="5" fillId="0" borderId="0" xfId="1" applyNumberFormat="1" applyFont="1" applyBorder="1" applyAlignment="1">
      <alignment horizontal="center" vertical="center"/>
    </xf>
    <xf numFmtId="10" fontId="5" fillId="3" borderId="0" xfId="1" applyNumberFormat="1" applyFont="1" applyFill="1" applyBorder="1" applyAlignment="1">
      <alignment horizontal="center" vertical="center"/>
    </xf>
    <xf numFmtId="10" fontId="5" fillId="0" borderId="13" xfId="1" applyNumberFormat="1" applyFont="1" applyFill="1" applyBorder="1" applyAlignment="1">
      <alignment horizontal="center" vertical="center"/>
    </xf>
    <xf numFmtId="10" fontId="5" fillId="6" borderId="0" xfId="1" applyNumberFormat="1" applyFont="1" applyFill="1" applyBorder="1" applyAlignment="1">
      <alignment horizontal="center" vertical="center" wrapText="1"/>
    </xf>
    <xf numFmtId="10" fontId="5" fillId="0" borderId="0" xfId="1" applyNumberFormat="1" applyFont="1" applyFill="1" applyBorder="1" applyAlignment="1">
      <alignment horizontal="center" vertical="center" wrapText="1"/>
    </xf>
    <xf numFmtId="164" fontId="15" fillId="0" borderId="0" xfId="1" applyNumberFormat="1" applyFont="1" applyBorder="1" applyAlignment="1">
      <alignment horizontal="center" vertical="center"/>
    </xf>
    <xf numFmtId="164" fontId="15" fillId="0" borderId="0" xfId="1" applyNumberFormat="1" applyFont="1" applyAlignment="1">
      <alignment horizontal="center" vertical="center"/>
    </xf>
    <xf numFmtId="164" fontId="0" fillId="8" borderId="0" xfId="1" applyNumberFormat="1" applyFont="1" applyFill="1" applyBorder="1" applyAlignment="1">
      <alignment horizontal="center" vertical="center"/>
    </xf>
    <xf numFmtId="164" fontId="16" fillId="0" borderId="13" xfId="1" applyNumberFormat="1" applyFont="1" applyFill="1" applyBorder="1" applyAlignment="1">
      <alignment horizontal="center" vertical="center"/>
    </xf>
    <xf numFmtId="164" fontId="16" fillId="3" borderId="0" xfId="1" applyNumberFormat="1" applyFont="1" applyFill="1" applyBorder="1" applyAlignment="1">
      <alignment horizontal="center" vertical="center"/>
    </xf>
    <xf numFmtId="10" fontId="3" fillId="0" borderId="0" xfId="1" applyNumberFormat="1" applyFont="1" applyAlignment="1">
      <alignment horizontal="center" vertical="center"/>
    </xf>
    <xf numFmtId="164" fontId="5" fillId="0" borderId="13" xfId="1" applyNumberFormat="1" applyFont="1" applyFill="1" applyBorder="1" applyAlignment="1">
      <alignment horizontal="center" vertical="center" wrapText="1"/>
    </xf>
    <xf numFmtId="10" fontId="0" fillId="6" borderId="13" xfId="1" applyNumberFormat="1" applyFont="1" applyFill="1" applyBorder="1" applyAlignment="1">
      <alignment horizontal="center" vertical="center"/>
    </xf>
    <xf numFmtId="0" fontId="0" fillId="6" borderId="22" xfId="0" applyFill="1" applyBorder="1" applyAlignment="1" applyProtection="1">
      <alignment vertical="center"/>
      <protection locked="0"/>
    </xf>
    <xf numFmtId="10" fontId="15" fillId="0" borderId="0" xfId="1" applyNumberFormat="1" applyFont="1" applyBorder="1" applyAlignment="1">
      <alignment horizontal="center" vertical="center"/>
    </xf>
    <xf numFmtId="165" fontId="0" fillId="0" borderId="0" xfId="0" applyNumberFormat="1"/>
    <xf numFmtId="164" fontId="3" fillId="0" borderId="0" xfId="1" applyNumberFormat="1" applyFont="1"/>
    <xf numFmtId="164" fontId="15" fillId="0" borderId="13" xfId="1" applyNumberFormat="1" applyFont="1" applyBorder="1" applyAlignment="1">
      <alignment horizontal="center" vertical="center"/>
    </xf>
    <xf numFmtId="164" fontId="15" fillId="0" borderId="13" xfId="1" applyNumberFormat="1" applyFont="1" applyBorder="1" applyAlignment="1">
      <alignment horizontal="center" vertical="center" wrapText="1"/>
    </xf>
    <xf numFmtId="164" fontId="15" fillId="0" borderId="0" xfId="1" applyNumberFormat="1" applyFont="1" applyBorder="1" applyAlignment="1">
      <alignment horizontal="center" vertical="center" wrapText="1"/>
    </xf>
    <xf numFmtId="164" fontId="3" fillId="10" borderId="11" xfId="1" applyNumberFormat="1" applyFont="1" applyFill="1" applyBorder="1" applyAlignment="1">
      <alignment horizontal="center" vertical="center" wrapText="1"/>
    </xf>
    <xf numFmtId="164" fontId="3" fillId="10" borderId="1" xfId="1" applyNumberFormat="1" applyFont="1" applyFill="1" applyBorder="1" applyAlignment="1">
      <alignment horizontal="center" vertical="center" wrapText="1"/>
    </xf>
    <xf numFmtId="164" fontId="0" fillId="0" borderId="4" xfId="2" applyNumberFormat="1" applyFont="1" applyFill="1" applyBorder="1" applyAlignment="1">
      <alignment horizontal="center" vertical="center"/>
    </xf>
    <xf numFmtId="164" fontId="6" fillId="0" borderId="4" xfId="2" applyNumberFormat="1" applyFont="1" applyFill="1" applyBorder="1" applyAlignment="1">
      <alignment horizontal="center" vertical="center"/>
    </xf>
    <xf numFmtId="164" fontId="0" fillId="0" borderId="0" xfId="2" applyNumberFormat="1" applyFont="1" applyFill="1" applyBorder="1" applyAlignment="1">
      <alignment horizontal="center" vertical="center"/>
    </xf>
    <xf numFmtId="164" fontId="0" fillId="0" borderId="5" xfId="2" applyNumberFormat="1" applyFont="1" applyFill="1" applyBorder="1" applyAlignment="1">
      <alignment horizontal="center" vertical="center"/>
    </xf>
    <xf numFmtId="3" fontId="6" fillId="0" borderId="8" xfId="2" applyNumberFormat="1" applyFont="1" applyBorder="1" applyAlignment="1">
      <alignment horizontal="center" vertical="center"/>
    </xf>
    <xf numFmtId="3" fontId="6" fillId="0" borderId="7" xfId="2" applyNumberFormat="1" applyFont="1" applyBorder="1" applyAlignment="1">
      <alignment horizontal="center" vertical="center"/>
    </xf>
    <xf numFmtId="3" fontId="6" fillId="0" borderId="9" xfId="2" applyNumberFormat="1" applyFont="1" applyBorder="1" applyAlignment="1">
      <alignment horizontal="center" vertical="center"/>
    </xf>
    <xf numFmtId="0" fontId="17" fillId="0" borderId="0" xfId="0" applyFont="1" applyAlignment="1">
      <alignment horizontal="center" vertical="center" wrapText="1"/>
    </xf>
    <xf numFmtId="0" fontId="0" fillId="3" borderId="0" xfId="0" applyFill="1" applyAlignment="1">
      <alignment vertical="center"/>
    </xf>
    <xf numFmtId="0" fontId="3" fillId="3" borderId="0" xfId="0" applyFont="1" applyFill="1" applyAlignment="1">
      <alignment vertical="center"/>
    </xf>
    <xf numFmtId="0" fontId="0" fillId="6" borderId="32" xfId="0" applyFill="1" applyBorder="1"/>
    <xf numFmtId="0" fontId="3" fillId="6" borderId="32" xfId="0" applyFont="1" applyFill="1" applyBorder="1" applyAlignment="1">
      <alignment wrapText="1"/>
    </xf>
    <xf numFmtId="174" fontId="0" fillId="6" borderId="32" xfId="2" applyNumberFormat="1" applyFont="1" applyFill="1" applyBorder="1"/>
    <xf numFmtId="174" fontId="0" fillId="11" borderId="32" xfId="2" applyNumberFormat="1" applyFont="1" applyFill="1" applyBorder="1"/>
    <xf numFmtId="174" fontId="0" fillId="6" borderId="33" xfId="2" applyNumberFormat="1" applyFont="1" applyFill="1" applyBorder="1"/>
    <xf numFmtId="174" fontId="0" fillId="6" borderId="34" xfId="2" applyNumberFormat="1" applyFont="1" applyFill="1" applyBorder="1"/>
    <xf numFmtId="174" fontId="0" fillId="6" borderId="34" xfId="0" applyNumberFormat="1" applyFill="1" applyBorder="1"/>
    <xf numFmtId="174" fontId="0" fillId="6" borderId="32" xfId="0" applyNumberFormat="1" applyFill="1" applyBorder="1"/>
    <xf numFmtId="0" fontId="0" fillId="3" borderId="33" xfId="0" applyFill="1" applyBorder="1"/>
    <xf numFmtId="0" fontId="0" fillId="3" borderId="34" xfId="0" applyFill="1" applyBorder="1"/>
    <xf numFmtId="0" fontId="3" fillId="3" borderId="32" xfId="0" applyFont="1" applyFill="1" applyBorder="1" applyAlignment="1">
      <alignment wrapText="1"/>
    </xf>
    <xf numFmtId="174" fontId="0" fillId="3" borderId="32" xfId="2" applyNumberFormat="1" applyFont="1" applyFill="1" applyBorder="1"/>
    <xf numFmtId="174" fontId="0" fillId="3" borderId="35" xfId="2" applyNumberFormat="1" applyFont="1" applyFill="1" applyBorder="1"/>
    <xf numFmtId="174" fontId="0" fillId="3" borderId="32" xfId="0" applyNumberFormat="1" applyFill="1" applyBorder="1"/>
    <xf numFmtId="0" fontId="0" fillId="3" borderId="32" xfId="0" applyFill="1" applyBorder="1"/>
    <xf numFmtId="174" fontId="0" fillId="0" borderId="0" xfId="2" applyNumberFormat="1" applyFont="1"/>
    <xf numFmtId="174" fontId="0" fillId="12" borderId="0" xfId="2" applyNumberFormat="1" applyFont="1" applyFill="1"/>
    <xf numFmtId="0" fontId="18" fillId="0" borderId="0" xfId="0" applyFont="1" applyAlignment="1">
      <alignment horizontal="right"/>
    </xf>
    <xf numFmtId="43" fontId="0" fillId="0" borderId="0" xfId="2" applyFont="1"/>
    <xf numFmtId="0" fontId="3" fillId="0" borderId="0" xfId="0" applyFont="1" applyAlignment="1">
      <alignment wrapText="1"/>
    </xf>
    <xf numFmtId="0" fontId="9" fillId="0" borderId="0" xfId="0" applyFont="1" applyAlignment="1">
      <alignment wrapText="1"/>
    </xf>
    <xf numFmtId="164" fontId="5" fillId="0" borderId="12" xfId="1" applyNumberFormat="1" applyFont="1" applyBorder="1" applyAlignment="1">
      <alignment horizontal="center" vertical="center"/>
    </xf>
    <xf numFmtId="10" fontId="5" fillId="0" borderId="4" xfId="1" applyNumberFormat="1" applyFont="1" applyBorder="1" applyAlignment="1">
      <alignment horizontal="center" vertical="center"/>
    </xf>
    <xf numFmtId="164" fontId="5" fillId="0" borderId="4" xfId="1" applyNumberFormat="1" applyFont="1" applyBorder="1" applyAlignment="1">
      <alignment horizontal="center" vertical="center"/>
    </xf>
    <xf numFmtId="0" fontId="0" fillId="7" borderId="0" xfId="0" applyFill="1"/>
    <xf numFmtId="174" fontId="0" fillId="13" borderId="32" xfId="0" applyNumberFormat="1" applyFill="1" applyBorder="1"/>
    <xf numFmtId="0" fontId="0" fillId="13" borderId="32" xfId="0" applyFill="1" applyBorder="1"/>
    <xf numFmtId="3" fontId="0" fillId="3" borderId="32" xfId="0" applyNumberFormat="1" applyFill="1" applyBorder="1"/>
    <xf numFmtId="174" fontId="0" fillId="14" borderId="32" xfId="2" applyNumberFormat="1" applyFont="1" applyFill="1" applyBorder="1"/>
    <xf numFmtId="174" fontId="0" fillId="7" borderId="0" xfId="2" applyNumberFormat="1" applyFont="1" applyFill="1"/>
    <xf numFmtId="14" fontId="0" fillId="0" borderId="0" xfId="0" applyNumberFormat="1"/>
    <xf numFmtId="14" fontId="0" fillId="3" borderId="0" xfId="0" applyNumberFormat="1" applyFill="1"/>
    <xf numFmtId="43" fontId="0" fillId="4" borderId="0" xfId="2" applyFont="1" applyFill="1"/>
    <xf numFmtId="164" fontId="0" fillId="15" borderId="0" xfId="0" applyNumberFormat="1" applyFill="1" applyAlignment="1">
      <alignment horizontal="center" vertical="center"/>
    </xf>
    <xf numFmtId="165" fontId="0" fillId="15" borderId="0" xfId="0" applyNumberFormat="1" applyFill="1" applyAlignment="1">
      <alignment horizontal="center" vertical="center"/>
    </xf>
    <xf numFmtId="164" fontId="3" fillId="0" borderId="1" xfId="1" applyNumberFormat="1" applyFont="1" applyBorder="1" applyAlignment="1">
      <alignment horizontal="center" vertical="center"/>
    </xf>
    <xf numFmtId="164" fontId="3" fillId="0" borderId="3" xfId="1" applyNumberFormat="1" applyFont="1" applyBorder="1" applyAlignment="1">
      <alignment horizontal="center" vertical="center"/>
    </xf>
    <xf numFmtId="164" fontId="3" fillId="0" borderId="2" xfId="1" applyNumberFormat="1" applyFont="1" applyBorder="1" applyAlignment="1">
      <alignment horizontal="center" vertical="center"/>
    </xf>
    <xf numFmtId="0" fontId="3" fillId="0" borderId="10" xfId="0" applyFont="1" applyBorder="1" applyAlignment="1" applyProtection="1">
      <alignment horizontal="center" vertical="center" wrapText="1"/>
      <protection locked="0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28" xfId="0" applyFont="1" applyBorder="1" applyAlignment="1" applyProtection="1">
      <alignment horizontal="center" vertical="center" wrapText="1"/>
      <protection locked="0"/>
    </xf>
    <xf numFmtId="164" fontId="3" fillId="0" borderId="26" xfId="1" applyNumberFormat="1" applyFont="1" applyBorder="1" applyAlignment="1">
      <alignment horizontal="center" vertical="center"/>
    </xf>
    <xf numFmtId="164" fontId="3" fillId="0" borderId="28" xfId="1" applyNumberFormat="1" applyFont="1" applyBorder="1" applyAlignment="1">
      <alignment horizontal="center" vertical="center"/>
    </xf>
    <xf numFmtId="164" fontId="3" fillId="0" borderId="27" xfId="1" applyNumberFormat="1" applyFont="1" applyBorder="1" applyAlignment="1">
      <alignment horizontal="center" vertical="center"/>
    </xf>
  </cellXfs>
  <cellStyles count="3">
    <cellStyle name="Milliers" xfId="2" builtinId="3"/>
    <cellStyle name="Normal" xfId="0" builtinId="0"/>
    <cellStyle name="Pourcentage" xfId="1" builtinId="5"/>
  </cellStyles>
  <dxfs count="0"/>
  <tableStyles count="0" defaultTableStyle="TableStyleMedium2" defaultPivotStyle="PivotStyleLight16"/>
  <colors>
    <mruColors>
      <color rgb="FFFF00FF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iannino Martin" id="{23AAD6E8-6246-490D-83EE-21029EC328AC}" userId="giannino.martin@boralex.com" providerId="PeoplePicker"/>
  <person displayName="Emilie Doute" id="{63B7C5B9-52C2-4B89-9281-40047EDF7D0A}" userId="S::emilie.doute@boralex.com::70a3bc67-4c96-400f-a156-2b278ce58d4a" providerId="AD"/>
  <person displayName="Kloe Chauvigne" id="{6971FBD0-283C-4FA7-A6D4-249C770BA8A7}" userId="S::kloe.chauvigne@boralex.com::2ce72e17-25b4-4bc5-be15-d78e1b30d864" providerId="AD"/>
  <person displayName="Ernani Schnorenberger" id="{D71B3192-5CD8-434C-B6D3-AD059F4B477C}" userId="S::eschnorenberger@boralex.com::787013a1-c121-4994-97b1-2fe73af5e508" providerId="AD"/>
  <person displayName="Giannino Martin" id="{B18B2608-85D6-4BF0-90C5-A482EDE14FAE}" userId="S::giannino.martin@boralex.com::7da21c85-44e4-4dc7-9fe0-9bdeb91b4536" providerId="AD"/>
  <person displayName="Stephanie Mesropyan" id="{AC263E71-A4C5-49B9-9355-0D17936906BB}" userId="S::stephanie.mesropyan@boralex.com::08c0e841-21a4-4b53-8594-3a8c39868b31" providerId="AD"/>
</personList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7" dT="2021-02-26T11:26:28.82" personId="{AC263E71-A4C5-49B9-9355-0D17936906BB}" id="{8B155358-CD51-408A-8D30-9A52BD99E443}">
    <text>Données modifiées par SMES le 26/02 car erreur d'Ernani dans le P90 (ancien valeur 51 000/ nouvelle valeur 59 000)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N7" dT="2021-09-20T17:28:16.23" personId="{B18B2608-85D6-4BF0-90C5-A482EDE14FAE}" id="{1E04A319-44BF-4863-AAC6-5EC50698962C}">
    <text>inhérent au calcul</text>
  </threadedComment>
  <threadedComment ref="Q7" dT="2021-09-20T21:51:18.38" personId="{63B7C5B9-52C2-4B89-9281-40047EDF7D0A}" id="{3631B8D2-3B09-4703-8A92-30634A91E081}">
    <text>on cherche à faire de la mise en drapeau sur les GE pour 2022. pas d'estimation à ce jour. pas sûr que techniquement, cela soit possible de faire de la mise en drapeau sur ces anciennes machines.</text>
  </threadedComment>
  <threadedComment ref="N8" dT="2021-09-20T17:28:16.23" personId="{B18B2608-85D6-4BF0-90C5-A482EDE14FAE}" id="{08EEA53C-5AE0-4BD1-BAB7-025C4C7D03A0}">
    <text>inhérent au calcul</text>
  </threadedComment>
  <threadedComment ref="Q8" dT="2021-09-20T21:51:18.38" personId="{63B7C5B9-52C2-4B89-9281-40047EDF7D0A}" id="{B3BB69E6-1DD9-46BD-9B15-8FB5F8CCBEC7}">
    <text>on cherche à faire de la mise en drapeau sur les GE pour 2022. pas d'estimation à ce jour. pas sûr que techniquement, cela soit possible de faire de la mise en drapeau sur ces anciennes machines.</text>
  </threadedComment>
  <threadedComment ref="N9" dT="2021-09-20T17:28:16.23" personId="{B18B2608-85D6-4BF0-90C5-A482EDE14FAE}" id="{DAD76CB7-D968-4B87-B8CE-0F673D56BA36}">
    <text>inhérent au calcul</text>
  </threadedComment>
  <threadedComment ref="Q9" dT="2021-09-20T21:51:18.38" personId="{63B7C5B9-52C2-4B89-9281-40047EDF7D0A}" id="{FCDE5E26-924F-4505-81F6-40AF6F1E217E}">
    <text>on cherche à faire de la mise en drapeau sur les GE pour 2022. pas d'estimation à ce jour. pas sûr que techniquement, cela soit possible de faire de la mise en drapeau sur ces anciennes machines.</text>
  </threadedComment>
  <threadedComment ref="N10" dT="2021-09-20T17:28:16.23" personId="{B18B2608-85D6-4BF0-90C5-A482EDE14FAE}" id="{843419C5-C215-4AA9-BA4A-5B7428E86A1C}">
    <text>inhérent au calcul</text>
  </threadedComment>
  <threadedComment ref="Q10" dT="2021-09-20T21:51:18.38" personId="{63B7C5B9-52C2-4B89-9281-40047EDF7D0A}" id="{DCE7885D-2C18-49C0-9206-B2291A54196A}">
    <text>on cherche à faire de la mise en drapeau sur les GE pour 2022. pas d'estimation à ce jour. pas sûr que techniquement, cela soit possible de faire de la mise en drapeau sur ces anciennes machines.</text>
  </threadedComment>
  <threadedComment ref="N13" dT="2021-09-20T21:25:53.86" personId="{63B7C5B9-52C2-4B89-9281-40047EDF7D0A}" id="{1B0324FE-95A5-404D-AB22-2CBE78D4DCE3}">
    <text>calcul des plans de bridages en cours sur les 2 directions (mesures en réception post-implantation terminées au printemps 2021).</text>
  </threadedComment>
  <threadedComment ref="Q13" dT="2021-09-20T21:52:06.37" personId="{63B7C5B9-52C2-4B89-9281-40047EDF7D0A}" id="{DE5347D1-2541-4A21-9BA9-3C082D40E099}">
    <text>bridage chiro possible en 2022 (on attend les résultats des suivis chiro sur Cham Longe 1 &amp; 2)</text>
  </threadedComment>
  <threadedComment ref="Q17" dT="2021-09-20T21:54:48.04" personId="{63B7C5B9-52C2-4B89-9281-40047EDF7D0A}" id="{84D1DF42-630F-43BE-B283-7BBB3A006D1F}">
    <text>bridage maison en 1/10ième de nuit activé depuis le 31/05/2021. estimation à 0,18% sur la totalité des parcs de Ronchois</text>
  </threadedComment>
  <threadedComment ref="Q18" dT="2021-09-20T21:54:48.04" personId="{63B7C5B9-52C2-4B89-9281-40047EDF7D0A}" id="{4DF60E67-CCD9-4907-9587-C4426534347E}">
    <text>bridage maison en 1/10ième de nuit activé depuis le 31/05/2021. estimation à 0,18% sur la totalité des parcs de Ronchois</text>
  </threadedComment>
  <threadedComment ref="Q19" dT="2021-09-20T21:54:48.04" personId="{63B7C5B9-52C2-4B89-9281-40047EDF7D0A}" id="{11E61536-A306-4DBF-A67A-7C018AF41F21}">
    <text>bridage maison en 1/10ième de nuit activé depuis le 31/05/2021. estimation à 0,18% sur la totalité des parcs de Ronchois</text>
  </threadedComment>
  <threadedComment ref="N26" dT="2021-09-20T09:37:09.54" personId="{B18B2608-85D6-4BF0-90C5-A482EDE14FAE}" id="{47BAD99A-DC45-49F4-8B21-B9634D336042}">
    <text>Il y a un leger écart entre DNV qui donne 1,47% en totale (acoustique + chiro), alors que le fichier CDC donne 0,1% en aoustique et 1,26 en chiro.</text>
  </threadedComment>
  <threadedComment ref="N26" dT="2021-09-20T21:49:18.35" personId="{63B7C5B9-52C2-4B89-9281-40047EDF7D0A}" id="{61B38B7E-3EF6-4982-8A59-9EAEBED39296}" parentId="{47BAD99A-DC45-49F4-8B21-B9634D336042}">
    <text>je confirme estimation BLX global=1,36% (0,1% acoustique+1,26% chiro). attention, le fichier CDC présentait 2 scénarios de bridage chiro : actuel et futur. le scénario futur est en fait l'actuel (depuis le 01/07/2021). j'ai mis à jour le fichier CDC afin d'éviter les erreur.</text>
  </threadedComment>
  <threadedComment ref="O26" dT="2021-09-21T10:06:21.02" personId="{D71B3192-5CD8-434C-B6D3-AD059F4B477C}" id="{150860B3-1F0A-4A85-811D-3C784E0362F8}">
    <text>Inclus dans le bridage acoustique</text>
  </threadedComment>
  <threadedComment ref="Q26" dT="2021-09-20T11:41:57.59" personId="{B18B2608-85D6-4BF0-90C5-A482EDE14FAE}" id="{1974E689-2A87-4CFA-B47F-DA087CBC3BF7}">
    <text>Repartition sur le Chiro faite sur la base du fichier CDC, car les chiffres sont cohèrentes.</text>
  </threadedComment>
  <threadedComment ref="N27" dT="2021-09-20T09:37:09.54" personId="{B18B2608-85D6-4BF0-90C5-A482EDE14FAE}" id="{405CA549-4465-4364-BF5E-412DDBE27703}">
    <text>Il y a un leger écart entre DNV qui donne 1,47% en totale (acoustique + chiro), alors que le fichier CDC donne 0,1% en aoustique et 1,26 en chiro.</text>
  </threadedComment>
  <threadedComment ref="N27" dT="2021-09-20T21:49:18.35" personId="{63B7C5B9-52C2-4B89-9281-40047EDF7D0A}" id="{A0F99FBF-CEA3-4EED-A562-089FB977D590}" parentId="{405CA549-4465-4364-BF5E-412DDBE27703}">
    <text>je confirme estimation BLX global=1,36% (0,1% acoustique+1,26% chiro). attention, le fichier CDC présentait 2 scénarios de bridage chiro : actuel et futur. le scénario futur est en fait l'actuel (depuis le 01/07/2021). j'ai mis à jour le fichier CDC afin d'éviter les erreur.</text>
  </threadedComment>
  <threadedComment ref="Q27" dT="2021-09-20T11:41:57.59" personId="{B18B2608-85D6-4BF0-90C5-A482EDE14FAE}" id="{0FF3BD03-943E-47D4-9E92-3E2CB3D1D2F9}">
    <text>Repartition sur le Chiro faite sur la base du fichier CDC, car les chiffres sont cohèrentes.</text>
  </threadedComment>
  <threadedComment ref="N28" dT="2021-09-20T09:37:09.54" personId="{B18B2608-85D6-4BF0-90C5-A482EDE14FAE}" id="{549B03F9-4F66-4EF5-8CBA-46B0FA59E985}">
    <text>Il y a un leger écart entre DNV qui donne 1,47% en totale (acoustique + chiro), alors que le fichier CDC donne 0,1% en aoustique et 1,26 en chiro.</text>
  </threadedComment>
  <threadedComment ref="N28" dT="2021-09-20T21:49:18.35" personId="{63B7C5B9-52C2-4B89-9281-40047EDF7D0A}" id="{46BA9F64-2BD3-4DF6-A4B9-22FF17816DB5}" parentId="{549B03F9-4F66-4EF5-8CBA-46B0FA59E985}">
    <text>je confirme estimation BLX global=1,36% (0,1% acoustique+1,26% chiro). attention, le fichier CDC présentait 2 scénarios de bridage chiro : actuel et futur. le scénario futur est en fait l'actuel (depuis le 01/07/2021). j'ai mis à jour le fichier CDC afin d'éviter les erreur.</text>
  </threadedComment>
  <threadedComment ref="Q28" dT="2021-09-20T11:41:57.59" personId="{B18B2608-85D6-4BF0-90C5-A482EDE14FAE}" id="{0D7318D9-047D-4FCA-AE86-7CA211CC55BA}">
    <text>Repartition sur le Chiro faite sur la base du fichier CDC, car les chiffres sont cohèrentes.</text>
  </threadedComment>
  <threadedComment ref="N29" dT="2021-09-20T09:37:09.54" personId="{B18B2608-85D6-4BF0-90C5-A482EDE14FAE}" id="{08AABD10-089E-4C61-916B-C0E3B5F1CF62}">
    <text>Il y a un leger écart entre DNV qui donne 1,47% en totale (acoustique + chiro), alors que le fichier CDC donne 0,1% en aoustique et 1,26 en chiro.</text>
  </threadedComment>
  <threadedComment ref="N29" dT="2021-09-20T21:49:18.35" personId="{63B7C5B9-52C2-4B89-9281-40047EDF7D0A}" id="{0EE77077-CB2F-4183-8364-A164D04BDF4D}" parentId="{08AABD10-089E-4C61-916B-C0E3B5F1CF62}">
    <text>je confirme estimation BLX global=1,36% (0,1% acoustique+1,26% chiro). attention, le fichier CDC présentait 2 scénarios de bridage chiro : actuel et futur. le scénario futur est en fait l'actuel (depuis le 01/07/2021). j'ai mis à jour le fichier CDC afin d'éviter les erreur.</text>
  </threadedComment>
  <threadedComment ref="Q29" dT="2021-09-20T11:41:57.59" personId="{B18B2608-85D6-4BF0-90C5-A482EDE14FAE}" id="{ED35231F-E0C4-4055-A80B-297F616A7710}">
    <text>Repartition sur le Chiro faite sur la base du fichier CDC, car les chiffres sont cohèrentes.</text>
  </threadedComment>
  <threadedComment ref="N30" dT="2021-09-20T16:54:50.68" personId="{63B7C5B9-52C2-4B89-9281-40047EDF7D0A}" id="{A69015CA-0AB4-4018-90F3-F261FBF5D880}">
    <text>je ne retrouve pas pourquoi le % de pertes est passé à 1% en 2021. avec le bridage non optimisé, le calcul était de 0.23% par rapport à la prod totale du parc. avec le mode optimisé NRO98,5, le % aurait dû être plus faible. calcul avec le NRO98,5 a retrouvé auprès de KC.</text>
  </threadedComment>
  <threadedComment ref="K38" dT="2021-09-20T13:59:26.60" personId="{B18B2608-85D6-4BF0-90C5-A482EDE14FAE}" id="{82225E43-7A77-4467-A16D-1D7D20A6B4AE}">
    <text>réel 95,75% 2020-2021</text>
  </threadedComment>
  <threadedComment ref="Q38" dT="2021-09-20T22:03:58.67" personId="{63B7C5B9-52C2-4B89-9281-40047EDF7D0A}" id="{CCD3B0F7-1341-4B3C-81CA-769E5CF43311}">
    <text>bridage chiro maison activé depuis le 7 mai 2021. % pertes calculés par FR.</text>
  </threadedComment>
  <threadedComment ref="K39" dT="2021-09-20T13:59:26.60" personId="{B18B2608-85D6-4BF0-90C5-A482EDE14FAE}" id="{FA19B896-8AA4-4E6F-BC74-EEDA08D9974C}">
    <text>réel 95,75% 2020-2021</text>
  </threadedComment>
  <threadedComment ref="Q39" dT="2021-09-20T22:03:58.67" personId="{63B7C5B9-52C2-4B89-9281-40047EDF7D0A}" id="{6548A17E-69FD-452C-88BE-16A5DC49F4D5}">
    <text>bridage chiro maison activé depuis le 7 mai 2021. % pertes calculés par FR.</text>
  </threadedComment>
  <threadedComment ref="K40" dT="2021-09-20T13:59:26.60" personId="{B18B2608-85D6-4BF0-90C5-A482EDE14FAE}" id="{C4974EA9-4483-4574-AB3F-53BA381338DB}">
    <text>réel 96,85% 2020-2021</text>
  </threadedComment>
  <threadedComment ref="K41" dT="2021-09-20T13:59:26.60" personId="{B18B2608-85D6-4BF0-90C5-A482EDE14FAE}" id="{9D898354-6517-4282-89C5-54BA925D4441}">
    <text>réel 96,85% 2020-2021</text>
  </threadedComment>
  <threadedComment ref="K42" dT="2021-09-20T13:59:26.60" personId="{B18B2608-85D6-4BF0-90C5-A482EDE14FAE}" id="{9B6E3220-37D2-423F-A636-EA947B0F1CE1}">
    <text>réel 96,85% 2020-2021</text>
  </threadedComment>
  <threadedComment ref="N43" dT="2021-09-20T13:42:18.11" personId="{B18B2608-85D6-4BF0-90C5-A482EDE14FAE}" id="{44C485DE-312A-40FF-9BA2-0D534902C886}">
    <text>Valeur assumé historiquement et en ligne avec le fichier des bridages CDC.</text>
  </threadedComment>
  <threadedComment ref="N43" dT="2021-09-20T22:07:25.12" personId="{63B7C5B9-52C2-4B89-9281-40047EDF7D0A}" id="{F6F09EA0-2F65-4420-AA38-C72E23EEDC20}" parentId="{44C485DE-312A-40FF-9BA2-0D534902C886}">
    <text>je ne retrouve pas le calcul d'estimation des pertes acoustiques</text>
  </threadedComment>
  <threadedComment ref="N43" dT="2021-09-21T08:18:12.72" personId="{63B7C5B9-52C2-4B89-9281-40047EDF7D0A}" id="{F35F67BD-7358-4F2E-83CF-CC666E059B31}" parentId="{44C485DE-312A-40FF-9BA2-0D534902C886}">
    <text>rapport DNV du 27/08/2021 établi dans le cadre de la cession confirme :  0,6%</text>
  </threadedComment>
  <threadedComment ref="Q43" dT="2021-09-20T13:41:43.28" personId="{B18B2608-85D6-4BF0-90C5-A482EDE14FAE}" id="{E52B6F2C-3B06-49BD-B245-8ECF306B181B}">
    <text>valeur estimé par Kloé suite à la demande de mise en drapeau à partir de 6 m/s.</text>
  </threadedComment>
  <threadedComment ref="Q43" dT="2021-09-20T22:05:28.73" personId="{63B7C5B9-52C2-4B89-9281-40047EDF7D0A}" id="{8A615971-DBE7-4CBE-8DC1-1F01C93C6445}" parentId="{E52B6F2C-3B06-49BD-B245-8ECF306B181B}">
    <text>le bridage chiro doit être en place au plus tard au 01 juin 2022 (par APC)</text>
  </threadedComment>
  <threadedComment ref="Q44" dT="2021-05-12T16:58:09.97" personId="{63B7C5B9-52C2-4B89-9281-40047EDF7D0A}" id="{E427E167-FB86-486D-9508-B711E0EB6DC5}">
    <text>bridage Avifaune 2.1% (0,4% Pré+1.7% Post) (KC)+chiro à prévoir 1.9%(APC) (FR). Valeur reprise au Forecast T1 2021.</text>
  </threadedComment>
  <threadedComment ref="Q45" dT="2021-05-12T16:58:09.97" personId="{63B7C5B9-52C2-4B89-9281-40047EDF7D0A}" id="{F27B322C-6575-4ADF-A2CC-6F6A6B7B01D6}">
    <text>bridage Avifaune 2.1% (0,4% Pré+1.7% Post) (KC)+chiro à prévoir 1.9%(APC) (FR). Valeur reprise au Forecast T1 2021.</text>
  </threadedComment>
  <threadedComment ref="Q46" dT="2021-05-12T16:58:09.97" personId="{63B7C5B9-52C2-4B89-9281-40047EDF7D0A}" id="{B80FB967-670F-4965-A563-6DF55DFB4F45}">
    <text>bridage Avifaune 2.1% (0,4% Pré+1.7% Post) (KC)+chiro à prévoir 1.9%(APC) (FR). Valeur reprise au Forecast T1 2021.</text>
  </threadedComment>
  <threadedComment ref="K47" dT="2021-09-20T13:59:26.60" personId="{B18B2608-85D6-4BF0-90C5-A482EDE14FAE}" id="{65F604B9-C5BA-4312-8D4D-E02BCC8DB2EB}">
    <text>réel 95,75% 2020-2021</text>
  </threadedComment>
  <threadedComment ref="M48" dT="2021-09-21T08:23:04.24" personId="{63B7C5B9-52C2-4B89-9281-40047EDF7D0A}" id="{6F2AE4C6-6777-4CD5-96D4-6FB8043D5C3D}">
    <text>calcul à revérifier avec plans de rbidage actuels (Emilie)</text>
  </threadedComment>
  <threadedComment ref="Q48" dT="2021-09-20T22:13:27.45" personId="{63B7C5B9-52C2-4B89-9281-40047EDF7D0A}" id="{B92E0D4B-D0EF-44D3-A9A3-02B2F1B079A5}">
    <text>note : ne prend pas en compte la possible augmentation de la vitesses à 7m/s en juillet et aout. (non encore actée)</text>
  </threadedComment>
  <threadedComment ref="Q49" dT="2021-09-20T22:13:27.45" personId="{63B7C5B9-52C2-4B89-9281-40047EDF7D0A}" id="{B713631C-7CF6-4026-AB7C-9B2BC5554A3F}">
    <text>note : ne prend pas en compte la possible augmentation de la vitesses à 7m/s en juillet et aout. (non encore actée)</text>
  </threadedComment>
  <threadedComment ref="Q50" dT="2021-09-20T22:13:27.45" personId="{63B7C5B9-52C2-4B89-9281-40047EDF7D0A}" id="{11B62413-A1D0-4E50-B3C5-D5D6BAFC83A1}">
    <text>note : ne prend pas en compte la possible augmentation de la vitesses à 7m/s en juillet et aout. (non encore actée)</text>
  </threadedComment>
  <threadedComment ref="K51" dT="2021-09-20T14:07:19.78" personId="{B18B2608-85D6-4BF0-90C5-A482EDE14FAE}" id="{03E0761F-8A86-4EA7-8385-8C92E99105E0}">
    <text>cette valeur inclut ~7% de givre.</text>
  </threadedComment>
  <threadedComment ref="N51" dT="2021-09-20T16:55:49.19" personId="{63B7C5B9-52C2-4B89-9281-40047EDF7D0A}" id="{D8D9D43E-35B8-4917-B8B4-59E2D07AF739}">
    <text>Calcul par KC suite plans de bridages post-implantations finalisés (activés en juillet 2021) (voir mail)</text>
  </threadedComment>
  <threadedComment ref="S51" dT="2021-09-20T14:29:51.52" personId="{B18B2608-85D6-4BF0-90C5-A482EDE14FAE}" id="{C73B1E74-F40C-4DF5-AF0D-3BE0656D2DAB}">
    <text>Integré la nouvelle detection de givre par programme automate.</text>
  </threadedComment>
  <threadedComment ref="K52" dT="2021-09-20T14:07:19.78" personId="{B18B2608-85D6-4BF0-90C5-A482EDE14FAE}" id="{D23508B3-3FD3-4E12-A686-5006FFD5F325}">
    <text>cette valeur inclut ~7% de givre.</text>
  </threadedComment>
  <threadedComment ref="N52" dT="2021-09-20T16:55:49.19" personId="{63B7C5B9-52C2-4B89-9281-40047EDF7D0A}" id="{B6C9ACB4-7B1D-483E-B78F-937DF3CFED5E}">
    <text>Calcul par KC suite plans de bridages post-implantations finalisés (activés en juillet 2021) (voir mail)</text>
  </threadedComment>
  <threadedComment ref="S52" dT="2021-09-20T14:29:51.52" personId="{B18B2608-85D6-4BF0-90C5-A482EDE14FAE}" id="{D58EB265-7ADD-442B-960E-CFD5F63C989F}">
    <text>Integré la nouvelle detection de givre par programme automate.</text>
  </threadedComment>
  <threadedComment ref="Q53" dT="2021-05-12T16:59:00.26" personId="{63B7C5B9-52C2-4B89-9281-40047EDF7D0A}" id="{F3458C50-9F14-4766-B8D2-522501A73BD6}">
    <text>bridage classique à 2,68% (KC). remplacé par 1/10ième de nuit (depuis 16/03/2021) : nouvelle estimation à 1,45%.</text>
  </threadedComment>
  <threadedComment ref="Q54" dT="2021-05-12T17:00:24.18" personId="{63B7C5B9-52C2-4B89-9281-40047EDF7D0A}" id="{1F917D20-A12B-45CE-BDD9-E08EF04A11C0}">
    <text>APC en cours de signature =2,2% (bridage avifaune)(KC)+2.42% (FR) (bridage chiro)=4.62%</text>
  </threadedComment>
  <threadedComment ref="Q55" dT="2021-05-28T07:22:50.95" personId="{63B7C5B9-52C2-4B89-9281-40047EDF7D0A}" id="{4CBA04D2-C62F-4548-A4AE-3D138E0E60C6}">
    <text>calcul en cours par Florent. mais 0,4% devrait être cohérent</text>
  </threadedComment>
  <threadedComment ref="Q55" dT="2021-06-01T13:26:46.91" personId="{6971FBD0-283C-4FA7-A6D4-249C770BA8A7}" id="{6B6D4DBD-4138-4D18-BF28-35F4A327728F}" parentId="{4CBA04D2-C62F-4548-A4AE-3D138E0E60C6}">
    <text>dernier calcul de Florent à 0.05%</text>
  </threadedComment>
  <threadedComment ref="N56" dT="2021-09-20T17:00:17.29" personId="{63B7C5B9-52C2-4B89-9281-40047EDF7D0A}" id="{233CAC72-A7D3-4CDF-AD5C-1C4F211A8653}">
    <text>estimation senvion avec équipement de serrations (doc 2016 Noise Assessment 8WTG). réception post-implantation en cours de finalisation (nord est). Bridage attendu pour fin 2021/début 2022.</text>
  </threadedComment>
  <threadedComment ref="N57" dT="2021-09-20T17:00:17.29" personId="{63B7C5B9-52C2-4B89-9281-40047EDF7D0A}" id="{BE2E31F0-C43B-43DF-A4F5-A9D0F744F522}">
    <text>estimation senvion avec équipement de serrations (doc 2016 Noise Assessment 8WTG). réception post-implantation en cours de finalisation (nord est). Bridage attendu pour fin 2021/début 2022.</text>
  </threadedComment>
  <threadedComment ref="K59" dT="2021-09-19T19:54:24.49" personId="{B18B2608-85D6-4BF0-90C5-A482EDE14FAE}" id="{47E20295-3DC8-46F6-9B86-A52AAF8ACA62}">
    <text>historique 2020-21 à 99,2%</text>
  </threadedComment>
  <threadedComment ref="N59" dT="2021-09-19T19:50:17.54" personId="{B18B2608-85D6-4BF0-90C5-A482EDE14FAE}" id="{D7FE0FCA-C439-4D07-B1F9-9412F70EF36F}">
    <text>la reduction du bridage de 0,6% grace aux French Modes est incluse dans la colonne amelioration (ce qui explique la differnce entre 2,2% de DNV et 2,8% repoté ici).</text>
  </threadedComment>
  <threadedComment ref="O59" dT="2021-09-21T09:59:36.32" personId="{D71B3192-5CD8-434C-B6D3-AD059F4B477C}" id="{A050633B-C70F-49C7-A0E7-C2C9B8013652}">
    <text>Inclus dans le bridage acoustique</text>
  </threadedComment>
  <threadedComment ref="Q59" dT="2021-09-20T22:15:56.06" personId="{63B7C5B9-52C2-4B89-9281-40047EDF7D0A}" id="{99A285CF-3368-4357-B1C2-55B6C5BE0CA9}">
    <text>je dois confirmer avec Vézians.</text>
  </threadedComment>
  <threadedComment ref="S59" dT="2021-09-19T19:48:37.51" personId="{B18B2608-85D6-4BF0-90C5-A482EDE14FAE}" id="{129AE090-624D-4D0F-B1A9-EA6F7C56E017}">
    <text>reduction des pertes de 2,8% à 2,2%, selon étude DNV amelioration suite à l'activation des French Modes</text>
  </threadedComment>
  <threadedComment ref="K60" dT="2021-09-19T19:54:24.49" personId="{B18B2608-85D6-4BF0-90C5-A482EDE14FAE}" id="{D532A3FC-296E-49DA-B1E2-09BC081B7EFD}">
    <text>historique 2020-21 à 99,2%</text>
  </threadedComment>
  <threadedComment ref="N60" dT="2021-09-19T19:50:17.54" personId="{B18B2608-85D6-4BF0-90C5-A482EDE14FAE}" id="{7516807E-1292-4887-AA4D-A95EE7A36151}">
    <text>la reduction du bridage de 0,6% grace aux French Modes est incluse dans la colonne amelioration (ce qui explique la differnce entre 2,2% de DNV et 2,8% repoté ici).</text>
  </threadedComment>
  <threadedComment ref="O60" dT="2021-09-21T09:59:36.32" personId="{D71B3192-5CD8-434C-B6D3-AD059F4B477C}" id="{A1955C50-CF83-4716-8559-3D746F7AFA8B}">
    <text>Inclus dans le bridage acoustique</text>
  </threadedComment>
  <threadedComment ref="Q60" dT="2021-09-20T22:15:56.06" personId="{63B7C5B9-52C2-4B89-9281-40047EDF7D0A}" id="{DA0D7BB1-D483-43BD-85FA-0C8D902019D3}">
    <text>je dois confirmer avec Vézians.</text>
  </threadedComment>
  <threadedComment ref="S60" dT="2021-09-19T19:48:44.92" personId="{B18B2608-85D6-4BF0-90C5-A482EDE14FAE}" id="{4834050F-6D52-4CAF-ADC8-7EF5AE69767B}">
    <text>reduction des pertes de 2,8% à 2,2%, selon étude DNV amelioration suite à l'activation des French Modes</text>
  </threadedComment>
  <threadedComment ref="K61" dT="2021-09-19T19:54:24.49" personId="{B18B2608-85D6-4BF0-90C5-A482EDE14FAE}" id="{C5DD799A-E55D-4630-88CA-A74913CEF07B}">
    <text>historique 2020-21 à 98,5%</text>
  </threadedComment>
  <threadedComment ref="S61" dT="2021-09-19T20:29:03.29" personId="{B18B2608-85D6-4BF0-90C5-A482EDE14FAE}" id="{F14122BD-EF7F-4C8D-B5B3-49DBE7BB7A17}">
    <text>l'éffet de l'amelioration est partiellement integré dans les calculs DNV.</text>
  </threadedComment>
  <threadedComment ref="K62" dT="2021-09-19T19:54:24.49" personId="{B18B2608-85D6-4BF0-90C5-A482EDE14FAE}" id="{96B9D1FD-4FF8-490C-9180-4969BBFC0C98}">
    <text>historique 2020-21 à 98,5%</text>
  </threadedComment>
  <threadedComment ref="S62" dT="2021-09-19T20:29:03.29" personId="{B18B2608-85D6-4BF0-90C5-A482EDE14FAE}" id="{464B573A-51F9-45E2-9C53-B4856C335966}">
    <text>l'éffet de l'amelioration est partiellement integré dans les calculs DNV.</text>
  </threadedComment>
  <threadedComment ref="K63" dT="2021-09-19T19:54:24.49" personId="{B18B2608-85D6-4BF0-90C5-A482EDE14FAE}" id="{AE57E89B-3D59-4535-98B9-A05EFE65B1FE}">
    <text>historique 2020-21 à 97,5%</text>
  </threadedComment>
  <threadedComment ref="N63" dT="2021-09-20T08:56:49.65" personId="{B18B2608-85D6-4BF0-90C5-A482EDE14FAE}" id="{99D9A66C-D9C9-4653-91B3-26AB8598C5C3}">
    <text>Il y a legèr écart entre DNV qui donne un curtailment globale de 0,64% (acoustique), et le fichier des bridages CDC qui porte sur 0,5%.</text>
  </threadedComment>
  <threadedComment ref="N63" dT="2021-09-20T19:14:30.80" personId="{63B7C5B9-52C2-4B89-9281-40047EDF7D0A}" id="{9C791F9C-ABC9-4689-B02A-D85FA4A9418C}" parentId="{99D9A66C-D9C9-4653-91B3-26AB8598C5C3}">
    <text>le seul calcul que je retrouve de Kloé est à 0.8% (mail du 30/07/2019 calcul sur 360°). je ne retrouve pas le calcul qui a abouti à 0.5%</text>
  </threadedComment>
  <threadedComment ref="O63" dT="2021-09-21T09:59:36.32" personId="{D71B3192-5CD8-434C-B6D3-AD059F4B477C}" id="{8DFAD5B7-C8A8-4F6E-B299-68D073D2E18E}">
    <text>Inclus dans le bridage acoustique</text>
  </threadedComment>
  <threadedComment ref="Q63" dT="2021-09-20T22:18:51.05" personId="{63B7C5B9-52C2-4B89-9281-40047EDF7D0A}" id="{0C65A4A3-9978-4499-B5DD-86E6D207FFA6}">
    <text>mise en drapeau prévu en 2022 pour les chiros. pas d'estimation à ce jour.</text>
  </threadedComment>
  <threadedComment ref="S63" dT="2021-09-19T20:29:03.29" personId="{B18B2608-85D6-4BF0-90C5-A482EDE14FAE}" id="{72E24230-4757-4F8A-BE6E-F83C6CF7A765}">
    <text>l'éffet de l'amelioration est partiellement integré dans les calculs DNV.</text>
  </threadedComment>
  <threadedComment ref="K64" dT="2021-09-19T19:54:24.49" personId="{B18B2608-85D6-4BF0-90C5-A482EDE14FAE}" id="{B0D4016B-2FFB-4246-AD8B-773DE22C7847}">
    <text>historique 2020-21 à 98,3%</text>
  </threadedComment>
  <threadedComment ref="N64" dT="2021-09-19T20:55:17.19" personId="{B18B2608-85D6-4BF0-90C5-A482EDE14FAE}" id="{BAE5A477-C6E0-49D6-ADE1-36ECF2A9C938}">
    <text>ATTENTION, écart significatif :  le nouveau rapport DNV donne 2,58% (acoiustique + chiro)  alors que le fichier des bridages CDC donne 3,6% (l'historique porte sur ~3,7%)</text>
  </threadedComment>
  <threadedComment ref="N64" dT="2021-09-20T18:51:05.84" personId="{63B7C5B9-52C2-4B89-9281-40047EDF7D0A}" id="{1F76B2B5-7A92-4E60-9597-94A61D6415E0}" parentId="{BAE5A477-C6E0-49D6-ADE1-36ECF2A9C938}">
    <text>@Giannino Martin, j'ai vérifié. les plans de bridages acoustiques sont bon. j'ai retrouvé le calcul e KC à 3.63%. pas de bridage chiro à ce jour sur MET.</text>
    <mentions>
      <mention mentionpersonId="{23AAD6E8-6246-490D-83EE-21029EC328AC}" mentionId="{4A4E14FD-5C5A-4CD0-94E6-6E3C1DD63A90}" startIndex="0" length="16"/>
    </mentions>
  </threadedComment>
  <threadedComment ref="N64" dT="2021-09-21T12:30:05.21" personId="{B18B2608-85D6-4BF0-90C5-A482EDE14FAE}" id="{4EDC1C46-41EE-4482-99B9-C27F249E0D7C}" parentId="{BAE5A477-C6E0-49D6-ADE1-36ECF2A9C938}">
    <text>dernire valeur DNV du 21/09: 3,0%</text>
  </threadedComment>
  <threadedComment ref="O64" dT="2021-09-21T09:39:45.53" personId="{D71B3192-5CD8-434C-B6D3-AD059F4B477C}" id="{28BE6086-43EA-4378-BDAA-38A61DE313DE}">
    <text>Inclus dans le bridage acoustique</text>
  </threadedComment>
  <threadedComment ref="K65" dT="2021-09-19T19:54:24.49" personId="{B18B2608-85D6-4BF0-90C5-A482EDE14FAE}" id="{46FB61A4-6C32-4605-8BF1-D6F6546F2F44}">
    <text>historique 2020-21 à 98,0%</text>
  </threadedComment>
  <threadedComment ref="N65" dT="2021-09-20T12:34:32.77" personId="{B18B2608-85D6-4BF0-90C5-A482EDE14FAE}" id="{7CE9837D-13E7-44E7-B5FC-3484C95821E6}">
    <text>ATTENTION, écart significatif :  le nouveau rapport DNV donne 4,50% (acoustique + chiro)  alors que le fichier des bridages CDC donne 6,75% (historique ~5,1%) +0,8% en chiro (historique ~0,1%).</text>
  </threadedComment>
  <threadedComment ref="N65" dT="2021-09-20T19:48:21.06" personId="{63B7C5B9-52C2-4B89-9281-40047EDF7D0A}" id="{B0F1D041-F025-4F97-9E4F-BDCDE44C363E}" parentId="{7CE9837D-13E7-44E7-B5FC-3484C95821E6}">
    <text>@Giannino Martin, erreur de saisie sur 1 mode (classe soirée, E8 à 6m/s) dans le fichier centralisé de bridage utilisé par DNV (voir mail séparé). le bridage actif est correct. le calcul de KC à 6,75% est basé sur le bridage correct. je confirme le calcul de KC à 0,8% pour les chiros.</text>
    <mentions>
      <mention mentionpersonId="{23AAD6E8-6246-490D-83EE-21029EC328AC}" mentionId="{F7DE5A8B-A9A4-4649-A109-6A095E60F013}" startIndex="0" length="16"/>
    </mentions>
  </threadedComment>
  <threadedComment ref="N65" dT="2021-09-21T12:31:26.28" personId="{B18B2608-85D6-4BF0-90C5-A482EDE14FAE}" id="{E0D0D3AD-548E-40E4-A4FB-22334587ED9E}" parentId="{7CE9837D-13E7-44E7-B5FC-3484C95821E6}">
    <text>dernière valeur DNV du 21/09 à 4,2% en acoustique</text>
  </threadedComment>
  <threadedComment ref="O65" dT="2021-09-21T09:39:45.53" personId="{D71B3192-5CD8-434C-B6D3-AD059F4B477C}" id="{76A02C8C-82A5-4429-8F02-6A1EB14CD268}">
    <text>Inclus dans le bridage acoustique</text>
  </threadedComment>
  <threadedComment ref="Q65" dT="2021-09-20T10:44:36.07" personId="{B18B2608-85D6-4BF0-90C5-A482EDE14FAE}" id="{D077FA5E-8589-4938-BB55-95ED254A2C3B}">
    <text>Bridage chiro intergé avec l'acoustique par DNV, dans le fichier CDC nous avions 0,8%.</text>
  </threadedComment>
  <threadedComment ref="Q65" dT="2021-09-21T12:33:16.90" personId="{B18B2608-85D6-4BF0-90C5-A482EDE14FAE}" id="{CF76A079-D6D7-4F58-96B1-38B6588FB7AA}" parentId="{D077FA5E-8589-4938-BB55-95ED254A2C3B}">
    <text>dernière valeur DNV du 21/09 à 0,2% en chiro</text>
  </threadedComment>
  <threadedComment ref="K66" dT="2021-09-19T19:54:24.49" personId="{B18B2608-85D6-4BF0-90C5-A482EDE14FAE}" id="{C6DBE773-E738-4CB2-A6B3-F820FA165DB4}">
    <text>historique 2020-21 à 99,1%</text>
  </threadedComment>
  <threadedComment ref="N66" dT="2021-09-19T20:55:17.19" personId="{B18B2608-85D6-4BF0-90C5-A482EDE14FAE}" id="{A0789851-F041-42C1-ACF9-8BE2A5A931E9}">
    <text>il y a encore lèger écart apres correction du nouveau rapport DNV avec 4,9%,  alors que le fichier des bridages CDC donne 6,12% en acoustique et 0,80% en chiro. L'historque poure sur 4,1%.</text>
  </threadedComment>
  <threadedComment ref="N66" dT="2021-09-20T20:05:15.60" personId="{63B7C5B9-52C2-4B89-9281-40047EDF7D0A}" id="{4CC24D7A-5376-42B2-890E-DE349A7604F8}" parentId="{A0789851-F041-42C1-ACF9-8BE2A5A931E9}">
    <text>@Giannino Martin, je confirme le 6,1% pour l'acoustique. pour spécificité ici, les secteurs angulaires proposés par l'acousticien ne sont pas identiques. Or l'outil interne Boralex ne travaille qu'avec des plages angulaires de même taille. Kloé a dû appliquer le plan de bridage NE sur le secteur [270;90[ et le SO sur [90;270[ (au lieu de [315;90[ et [90;315]). Pour les pertes chiro, je ne retrouve pas les 0,8%. l'estimation que j'ai est celle de DNV en 2018 à 0,3% (sur la base des critères toujours d'actualité à ce jour).</text>
    <mentions>
      <mention mentionpersonId="{23AAD6E8-6246-490D-83EE-21029EC328AC}" mentionId="{6061F4B6-1E88-49D5-AB1E-7206C52D507D}" startIndex="0" length="16"/>
    </mentions>
  </threadedComment>
  <threadedComment ref="O66" dT="2021-09-21T09:39:45.53" personId="{D71B3192-5CD8-434C-B6D3-AD059F4B477C}" id="{5D570288-B747-4D36-A865-4E27306B0A0F}">
    <text>Inclus dans le bridage acoustique</text>
  </threadedComment>
  <threadedComment ref="Q66" dT="2021-09-20T10:44:36.07" personId="{B18B2608-85D6-4BF0-90C5-A482EDE14FAE}" id="{4DBC1692-28B3-4DB1-83F7-FDA7EADDA3B0}">
    <text>Verifier si le bridage chiro est intergé ou pas avec l'acoustique par DNV (la valeur corrigée de 4,9%), dans le fichier CDC nous avions 0,8%.</text>
  </threadedComment>
  <threadedComment ref="Q66" dT="2021-09-20T22:22:06.25" personId="{63B7C5B9-52C2-4B89-9281-40047EDF7D0A}" id="{9064E4C3-5C53-4EDE-9282-3AA0B60ED8AA}" parentId="{4DBC1692-28B3-4DB1-83F7-FDA7EADDA3B0}">
    <text>Je ne retrouve pas le calcul des 0,8%. bridage de E2 et E5 uniquement.</text>
  </threadedComment>
  <threadedComment ref="Q66" dT="2021-09-21T12:27:54.36" personId="{B18B2608-85D6-4BF0-90C5-A482EDE14FAE}" id="{A7545254-18FF-4A68-A982-91D9EBDE20E1}" parentId="{4DBC1692-28B3-4DB1-83F7-FDA7EADDA3B0}">
    <text>dernier info le 21/09: chiro = 0,3%</text>
  </threadedComment>
  <threadedComment ref="S66" dT="2021-09-19T20:29:03.29" personId="{B18B2608-85D6-4BF0-90C5-A482EDE14FAE}" id="{D85E9684-7B36-471D-86F6-04EDCF6A5ABC}">
    <text>l'éffet de l'amelioration est partiellement integré dans les calculs DNV.</text>
  </threadedComment>
  <threadedComment ref="K67" dT="2021-09-19T19:54:24.49" personId="{B18B2608-85D6-4BF0-90C5-A482EDE14FAE}" id="{C14823D6-4DBD-4E63-B10A-92A0CCC75125}">
    <text>historique 2020-21 à 99,5%</text>
  </threadedComment>
  <threadedComment ref="N67" dT="2021-09-20T12:55:49.74" personId="{B18B2608-85D6-4BF0-90C5-A482EDE14FAE}" id="{BA0BB2BF-4A28-40DC-8BBA-EC7B4E7ECCEC}">
    <text>Pas d'estimation précise par DNV, assumons la valeur du fichier bridage CDC.</text>
  </threadedComment>
  <threadedComment ref="N67" dT="2021-09-21T12:34:51.52" personId="{B18B2608-85D6-4BF0-90C5-A482EDE14FAE}" id="{C2606238-56C4-4A22-9F21-4662E9016233}" parentId="{BA0BB2BF-4A28-40DC-8BBA-EC7B4E7ECCEC}">
    <text>dernière valeur DNV du 21/09 à 0,9% en acoustique</text>
  </threadedComment>
  <threadedComment ref="O67" dT="2021-09-21T09:39:45.53" personId="{D71B3192-5CD8-434C-B6D3-AD059F4B477C}" id="{309992E7-9895-44F2-84B4-EA392BDCD552}">
    <text>Inclus dans le bridage acoustique</text>
  </threadedComment>
  <threadedComment ref="O67" dT="2021-09-21T12:43:31.22" personId="{B18B2608-85D6-4BF0-90C5-A482EDE14FAE}" id="{A30777E8-26EA-4404-BB69-529C1A574BD7}" parentId="{309992E7-9895-44F2-84B4-EA392BDCD552}">
    <text>dernière info DNV du 21/07: Bridage chiro = 1,1%, le bridage Milan est dans la dispo.</text>
  </threadedComment>
  <threadedComment ref="Q67" dT="2021-09-20T12:55:49.74" personId="{B18B2608-85D6-4BF0-90C5-A482EDE14FAE}" id="{9F38CC77-5075-4921-80BA-00EBEBDD3A60}">
    <text>Pas d'estimation précise par DNV, mais comptabilisation des arrêts chiro dans le 1,98% de curtailment. En revanche, le Milan Royal a été compatbilisé par DNV comme unavailability à la hauteur 6,73%, ce qui est pour la plus part du bridage. La dispo technique est ~99,5%. Le bridage agricole se confirme ~5,1% pour 2021. Avec la validation de l'IDF on passera à 1% de pertes pour Milan à partir de la saison 2022;.</text>
  </threadedComment>
  <threadedComment ref="Q67" dT="2021-09-21T12:41:01.95" personId="{B18B2608-85D6-4BF0-90C5-A482EDE14FAE}" id="{9578531A-2EFE-4D46-9CE7-B60FA7789CFE}" parentId="{9F38CC77-5075-4921-80BA-00EBEBDD3A60}">
    <text>derière info DNV du 21/09/2021: chiro à 1,1%</text>
  </threadedComment>
  <threadedComment ref="S67" dT="2021-09-19T20:29:03.29" personId="{B18B2608-85D6-4BF0-90C5-A482EDE14FAE}" id="{B90D67D5-B6E0-40EE-AF42-4C8DB96B9AAD}">
    <text>En 2022 nous prennons l'hypothèse d'une amelioration d'environs 4% entre la situation de bridage agricole plus horaire (~5% de pertes comptabilisés en 2021) et la situation avec IDF (avec ~1% de pertes estimés)</text>
  </threadedComment>
  <threadedComment ref="K68" dT="2021-09-19T19:54:24.49" personId="{B18B2608-85D6-4BF0-90C5-A482EDE14FAE}" id="{E2496F35-043F-4F6C-AE75-1FDEFE8F9808}">
    <text>historique 2020-21 à 99,5%</text>
  </threadedComment>
  <threadedComment ref="N68" dT="2021-09-20T12:55:49.74" personId="{B18B2608-85D6-4BF0-90C5-A482EDE14FAE}" id="{4B0C930D-0C4A-4939-AA77-F2AB5FF730FA}">
    <text>Pas d'estimation précise par DNV, assumons la valeur du fichier bridage CDC.</text>
  </threadedComment>
  <threadedComment ref="N68" dT="2021-09-21T12:34:51.52" personId="{B18B2608-85D6-4BF0-90C5-A482EDE14FAE}" id="{C0D39FBD-24C3-4D41-B2C7-EBC5877D6C50}" parentId="{4B0C930D-0C4A-4939-AA77-F2AB5FF730FA}">
    <text>dernière valeur DNV du 21/09 à 0,9% en acoustique</text>
  </threadedComment>
  <threadedComment ref="O68" dT="2021-09-21T09:39:45.53" personId="{D71B3192-5CD8-434C-B6D3-AD059F4B477C}" id="{3DD88F28-6D85-4335-BD57-FE67ED0442B2}">
    <text>Inclus dans le bridage acoustique</text>
  </threadedComment>
  <threadedComment ref="O68" dT="2021-09-21T12:43:31.22" personId="{B18B2608-85D6-4BF0-90C5-A482EDE14FAE}" id="{CC31E478-747A-491E-8B8C-44F22239E341}" parentId="{3DD88F28-6D85-4335-BD57-FE67ED0442B2}">
    <text>dernière info DNV du 21/07: Bridage chiro = 1,1%, le bridage Milan est dans la dispo.</text>
  </threadedComment>
  <threadedComment ref="Q68" dT="2021-09-20T12:55:49.74" personId="{B18B2608-85D6-4BF0-90C5-A482EDE14FAE}" id="{EA1EAE9F-ACA3-48A5-99D8-CB8806B1966E}">
    <text>Pas d'estimation précise par DNV, mais comptabilisation des arrêts chiro dans le 1,98% de curtailment. En revanche, le Milan Royal a été compatbilisé par DNV comme unavailability à la hauteur 6,73%, ce qui est pour la plus part du bridage. La dispo technique est ~99,5%. Le bridage agricole se confirme ~5,1% pour 2021. Avec la validation de l'IDF on passera à 1% de pertes pour Milan à partir de la saison 2022;.</text>
  </threadedComment>
  <threadedComment ref="Q68" dT="2021-09-21T12:41:01.95" personId="{B18B2608-85D6-4BF0-90C5-A482EDE14FAE}" id="{C773AB7C-810E-41CE-85F5-CEE1F55C5129}" parentId="{EA1EAE9F-ACA3-48A5-99D8-CB8806B1966E}">
    <text>derière info DNV du 21/09/2021: chiro à 1,1%</text>
  </threadedComment>
  <threadedComment ref="S68" dT="2021-09-19T20:29:03.29" personId="{B18B2608-85D6-4BF0-90C5-A482EDE14FAE}" id="{8690DE8B-8131-4E62-B21B-9AF0DF4F6A87}">
    <text>En 2022 nous prennons l'hypothèse d'une amelioration d'environs 2% par effet d'une mise en service le mois de juin, avec un 4% anneulle venant de l'écart entre le bridage agricole plus horaire (~5% de pertes comptabilisés en 2021) et la situation avec IDF (avec ~1% de pertes estimés)</text>
  </threadedComment>
  <threadedComment ref="K72" dT="2021-09-19T17:28:18.50" personId="{B18B2608-85D6-4BF0-90C5-A482EDE14FAE}" id="{5D6909E6-7863-4D17-9ED9-A20CCAEA9BED}">
    <text>cetta valeur donnée par l'étude dans 2019 inclus un effet du givre, qui en réalité n'étais pas optimisées. Nous recuperons donc 0,6% sur ce parc grace à l'optimisation du givre.</text>
  </threadedComment>
  <threadedComment ref="Q72" dT="2021-05-18T06:42:49.22" personId="{63B7C5B9-52C2-4B89-9281-40047EDF7D0A}" id="{6FC0469E-1157-488E-A229-55A5E0ED6749}">
    <text>PPB : bridage chiro en 2022</text>
  </threadedComment>
  <threadedComment ref="S72" dT="2021-09-19T17:42:00.90" personId="{B18B2608-85D6-4BF0-90C5-A482EDE14FAE}" id="{82BDB3FB-6895-4C38-B0A5-057C922EAA33}">
    <text>par extrapolation sur Noyers Bucamps, sachant que la detection du givre était mal reglée, nous considerons de recuperer 0,6%.</text>
  </threadedComment>
  <threadedComment ref="K73" dT="2021-09-19T17:28:18.50" personId="{B18B2608-85D6-4BF0-90C5-A482EDE14FAE}" id="{A4D8C1EA-0C7C-486F-9849-36DDCB0BF710}">
    <text>cetta valeur donnée par l'étude dans 2019 inclus un effet du givre, qui en réalité n'étais pas optimisées. Nous recuperons donc 0,6% sur ce parc grace à l'optimisation du givre.</text>
  </threadedComment>
  <threadedComment ref="S73" dT="2021-09-19T17:42:00.90" personId="{B18B2608-85D6-4BF0-90C5-A482EDE14FAE}" id="{5A12B8FB-9F25-4011-8CA0-ACE0514BBB08}">
    <text>par extrapolation sur Noyers Bucamps, sachant que la detection du givre était mal reglée, nous considerons de recuperer 0,6%.</text>
  </threadedComment>
  <threadedComment ref="K74" dT="2021-09-19T17:28:18.50" personId="{B18B2608-85D6-4BF0-90C5-A482EDE14FAE}" id="{0F0FD7E0-5CE6-4689-BD1D-5E247163AEBE}">
    <text>cetta valeur donnée par l'étude dans 2019 inclus un effet du givre, qui en réalité n'étais pas optimisées. Nous recuperons donc 0,6% sur ce parc grace à l'optimisation du givre.</text>
  </threadedComment>
  <threadedComment ref="S74" dT="2021-09-19T17:42:00.90" personId="{B18B2608-85D6-4BF0-90C5-A482EDE14FAE}" id="{C7FBBB2D-06CB-4DBF-9B94-407BC2E9AA0B}">
    <text>par extrapolation sur Noyers Bucamps, sachant que la detection du givre était mal reglée, nous considerons de recuperer 0,6%.</text>
  </threadedComment>
  <threadedComment ref="N76" dT="2021-09-20T17:28:16.23" personId="{B18B2608-85D6-4BF0-90C5-A482EDE14FAE}" id="{2F808422-7DD5-4596-8C4B-33BCA44035D9}">
    <text>inhérent au calcul</text>
  </threadedComment>
  <threadedComment ref="Q78" dT="2021-05-28T07:52:31.28" personId="{63B7C5B9-52C2-4B89-9281-40047EDF7D0A}" id="{5CA33234-4676-4C73-B2A5-108F2179F010}">
    <text>Bridage chiro+avifaune très probable en 2022 (négociation en cours)-A ANTICIPER sur 2022</text>
  </threadedComment>
  <threadedComment ref="K81" dT="2021-09-19T17:28:18.50" personId="{B18B2608-85D6-4BF0-90C5-A482EDE14FAE}" id="{96A934A2-C6F3-4761-A75A-8D9FDF06B83D}">
    <text>cetta valeur donnée par l'étude dans 2019 inclus un effet du givre, qui en réalité n'étais pas optimisées. Nous recuperons donc 0,6% sur ce parc grace à l'optimisation du givre.</text>
  </threadedComment>
  <threadedComment ref="S81" dT="2021-09-19T17:42:00.90" personId="{B18B2608-85D6-4BF0-90C5-A482EDE14FAE}" id="{68E65F71-A7D5-40A2-94B7-55D5EFD11B97}">
    <text>par extrapolation sur Noyers Bucamps, sachant que la detection du givre était mal reglée, nous considerons de recuperer 0,6%.</text>
  </threadedComment>
  <threadedComment ref="N82" dT="2021-09-20T17:28:16.23" personId="{B18B2608-85D6-4BF0-90C5-A482EDE14FAE}" id="{588761E5-B237-48BA-A529-0F91819E7608}">
    <text>inhérent au calcul</text>
  </threadedComment>
  <threadedComment ref="Q82" dT="2021-09-20T19:21:42.64" personId="{B18B2608-85D6-4BF0-90C5-A482EDE14FAE}" id="{41A14851-36F3-4891-A454-AD98CBBAE804}">
    <text>HP de debrider mi année 2022 et ne rester que avec le RADAR (pertes 1%).</text>
  </threadedComment>
  <threadedComment ref="Q82" dT="2021-09-21T08:48:29.00" personId="{63B7C5B9-52C2-4B89-9281-40047EDF7D0A}" id="{F5E294B0-59CF-4BC8-AAC9-093ABF593196}" parentId="{41A14851-36F3-4891-A454-AD98CBBAE804}">
    <text>révision hypothèse 2% pour le radar pertes résiduelles</text>
  </threadedComment>
  <threadedComment ref="N84" dT="2021-09-20T17:28:16.23" personId="{B18B2608-85D6-4BF0-90C5-A482EDE14FAE}" id="{0701AD77-DDDF-49CD-9B68-8C0B7467F8CA}">
    <text>inhérent au calcul</text>
  </threadedComment>
  <threadedComment ref="Q84" dT="2021-09-20T19:22:21.37" personId="{B18B2608-85D6-4BF0-90C5-A482EDE14FAE}" id="{58C0DFCC-AEC6-41E8-A3F3-20F913E90264}">
    <text>HP de debrider mi année 2022 et ne rester que avec le RADAR (pertes 1%).</text>
  </threadedComment>
  <threadedComment ref="Q84" dT="2021-09-21T08:48:57.69" personId="{63B7C5B9-52C2-4B89-9281-40047EDF7D0A}" id="{5002A56B-04BF-4556-A9BB-DF4E5F858F4A}" parentId="{58C0DFCC-AEC6-41E8-A3F3-20F913E90264}">
    <text>révision à 2% pertes résiduelles pour le radar aulieu de 1%</text>
  </threadedComment>
  <threadedComment ref="K85" dT="2021-09-19T17:22:03.91" personId="{B18B2608-85D6-4BF0-90C5-A482EDE14FAE}" id="{96E805A1-5EED-4497-9C2D-70440D1A53B3}">
    <text>cetta valeur donnée par l'étude dans 2021 donne 96,4%, inclus un effet du givre, qui en réalité n'étais pas optimisées. Nous recuperons donc 0,6% sur ce parc grace à l'optimisation du givre.</text>
  </threadedComment>
  <threadedComment ref="O85" dT="2021-09-21T09:39:45.53" personId="{D71B3192-5CD8-434C-B6D3-AD059F4B477C}" id="{5C99313E-906D-4D23-A9D5-F6A343587476}">
    <text>Inclus dans le bridage acoustique</text>
  </threadedComment>
  <threadedComment ref="Q85" dT="2021-09-20T22:28:09.36" personId="{63B7C5B9-52C2-4B89-9281-40047EDF7D0A}" id="{432056F7-B6AD-4BC2-B33E-3EAC5C44FB53}">
    <text>Mise en drapeau activé depuis juillet 2020. pas d'estimation à ce jour. renforcement possible selon suivi 2021.</text>
  </threadedComment>
  <threadedComment ref="S85" dT="2021-09-19T17:42:00.90" personId="{B18B2608-85D6-4BF0-90C5-A482EDE14FAE}" id="{C40634DF-3995-4FE5-97CD-85DE349006FF}">
    <text>l'écart entre l'étude 2019 et 2021 est essentiellement dû au givre, qui était mal reglé : avec l'amelioration nous considerons donc que de recuperer 0,6%.</text>
  </threadedComment>
  <threadedComment ref="N86" dT="2021-09-20T20:55:57.16" personId="{63B7C5B9-52C2-4B89-9281-40047EDF7D0A}" id="{FC6DEA03-6B07-4A46-8794-233786A08B38}">
    <text>hypothèse car mesures post-implantation prévue à l'automne 2021. risque très faible.</text>
  </threadedComment>
  <threadedComment ref="K87" dT="2021-09-19T19:54:24.49" personId="{B18B2608-85D6-4BF0-90C5-A482EDE14FAE}" id="{46393E25-62CE-4E52-AB03-D47DD505E02F}">
    <text>historique 2020-21 à 99,3%</text>
  </threadedComment>
  <threadedComment ref="N87" dT="2021-09-20T08:37:33.46" personId="{B18B2608-85D6-4BF0-90C5-A482EDE14FAE}" id="{AEECB9E9-5A5E-4787-96BD-3F086B7D14B2}">
    <text>DNV donne un curtailment globale de 0,10% (acoustique), ce qui est en ligne avec le fichier des bridages CDC à 0,14%.</text>
  </threadedComment>
  <threadedComment ref="N87" dT="2021-09-20T20:19:54.27" personId="{63B7C5B9-52C2-4B89-9281-40047EDF7D0A}" id="{3AD2CCCF-FBF9-42A0-9AA4-938ADC3EE650}" parentId="{AEECB9E9-5A5E-4787-96BD-3F086B7D14B2}">
    <text>je confirme le 0,14% pour le bridage acoustique.</text>
  </threadedComment>
  <threadedComment ref="O87" dT="2021-09-21T09:39:45.53" personId="{D71B3192-5CD8-434C-B6D3-AD059F4B477C}" id="{F12B75C8-697E-4570-B6D7-42E250D4C972}">
    <text>Inclus dans le bridage acoustique</text>
  </threadedComment>
  <threadedComment ref="S87" dT="2021-09-20T05:07:06.54" personId="{B18B2608-85D6-4BF0-90C5-A482EDE14FAE}" id="{ECB42A86-88E3-4152-8DF4-D837A94C88BA}">
    <text>l'éffet de l'amelioration est partiellement integré dans les calculs DNV.</text>
  </threadedComment>
  <threadedComment ref="K88" dT="2021-09-19T21:12:38.38" personId="{B18B2608-85D6-4BF0-90C5-A482EDE14FAE}" id="{31DE89CC-89C4-4EF2-8F2F-E16F2D056B2F}">
    <text>historique 2020-21 à 98,1%</text>
  </threadedComment>
  <threadedComment ref="N88" dT="2021-09-20T08:37:33.46" personId="{B18B2608-85D6-4BF0-90C5-A482EDE14FAE}" id="{BE3B1C59-AF3D-4183-B7D9-0B3DA8A2926C}">
    <text>valeur donnée par DNV en globale, alors qu'il n'y a pas traçe de bridage dans le fichier des bridages CDC</text>
  </threadedComment>
  <threadedComment ref="N88" dT="2021-09-20T20:30:31.38" personId="{63B7C5B9-52C2-4B89-9281-40047EDF7D0A}" id="{D71BE0D8-6210-4840-8E2F-9B2381946B0E}" parentId="{BE3B1C59-AF3D-4183-B7D9-0B3DA8A2926C}">
    <text>@Giannino, oui difficile de comprendre d'où vient le chiffre DNV. la campagne post-implantation est en cours (SO fait fin 2020). attente NE. pour l'instant, pas de bridage en place mais l'estimation pré-implantation est à 1,1% (chiffre DNV pour RIB1). De plus, bridage chiro à prévoir pour 2022 (estimation KC=1,1% également). donc, selon BLX, on serait plutôt à 2,2% de perte global (acoustique+chiro)</text>
  </threadedComment>
  <threadedComment ref="O88" dT="2021-09-21T09:39:45.53" personId="{D71B3192-5CD8-434C-B6D3-AD059F4B477C}" id="{ACB44E2A-6AEF-4C56-8E14-411384F7822B}">
    <text>Inclus dans le bridage acoustique</text>
  </threadedComment>
  <threadedComment ref="Q88" dT="2021-09-20T22:30:29.69" personId="{63B7C5B9-52C2-4B89-9281-40047EDF7D0A}" id="{440A55E0-28E3-4826-988D-46626B509F9C}">
    <text>bridage chiro attendu pour une 1ière mise en oeuvre en avril 2022 (1,1% calculé par KC)</text>
  </threadedComment>
  <threadedComment ref="K89" dT="2021-09-19T19:54:24.49" personId="{B18B2608-85D6-4BF0-90C5-A482EDE14FAE}" id="{70AC1666-2B4C-453E-860F-A31284C5C64D}">
    <text>historique 2020-21 à 97,7%</text>
  </threadedComment>
  <threadedComment ref="N89" dT="2021-09-19T20:55:17.19" personId="{B18B2608-85D6-4BF0-90C5-A482EDE14FAE}" id="{E8D9D09D-6662-4ECA-A042-D3FBA4098C6A}">
    <text>ATTENTION, écart significatif :  le nouveau rapport DNV donne 0,93% (acoiustique + chiro)  alors que le fichier des bridages CDC donne 1,7% en acoustique et 0,7% en chiro (l'historique porte sur 0,9% en coustique et 1,0% en chiro)</text>
  </threadedComment>
  <threadedComment ref="N89" dT="2021-09-20T20:43:10.30" personId="{63B7C5B9-52C2-4B89-9281-40047EDF7D0A}" id="{C1279CEA-AD83-47A7-AAB4-F13965CC365F}" parentId="{E8D9D09D-6662-4ECA-A042-D3FBA4098C6A}">
    <text>@giannino, je confirme les calculs de Kloé. acoustique=1,7% (réactualisation suite mesures)+0.7% chiro=2.4% au total pour blx. Je ne comprends pas le calcul de DNV. le fichier centralisé de bridage est correct (vérifié avec le rapport acoustique).</text>
  </threadedComment>
  <threadedComment ref="O89" dT="2021-09-21T09:39:45.53" personId="{D71B3192-5CD8-434C-B6D3-AD059F4B477C}" id="{4215F66A-CE74-4134-BFD5-BE6E380F9AF6}">
    <text>Inclus dans le bridage acoustique</text>
  </threadedComment>
  <threadedComment ref="Q89" dT="2021-09-20T10:44:36.07" personId="{B18B2608-85D6-4BF0-90C5-A482EDE14FAE}" id="{2CB5D53D-AEF0-4635-8179-4B2C2DE0AC8E}">
    <text>Bridage chiro intergé avec l'acoustique par DNV, dans le fichier CDC nous avions 0,7%.</text>
  </threadedComment>
  <threadedComment ref="S89" dT="2021-09-19T20:29:03.29" personId="{B18B2608-85D6-4BF0-90C5-A482EDE14FAE}" id="{16FDC6D7-D2B2-43B2-852B-09092FBD5E73}">
    <text>l'éffet de l'amelioration est partiellement integré dans les calculs DNV.</text>
  </threadedComment>
  <threadedComment ref="K90" dT="2021-09-19T19:54:24.49" personId="{B18B2608-85D6-4BF0-90C5-A482EDE14FAE}" id="{B6BE27EC-8934-4320-A0A7-E28977EDC4E9}">
    <text>historique 2020-21 à 97,7%</text>
  </threadedComment>
  <threadedComment ref="N90" dT="2021-09-19T20:55:17.19" personId="{B18B2608-85D6-4BF0-90C5-A482EDE14FAE}" id="{E3619D6B-27EB-4325-9ADE-95633E66E86F}">
    <text>ATTENTION, écart significatif :  le nouveau rapport DNV donne 0,93% (acoiustique + chiro)  alors que le fichier des bridages CDC donne 1,7% en acoustique et 0,7% en chiro (l'historique porte sur 0,9% en coustique et 1,0% en chiro)</text>
  </threadedComment>
  <threadedComment ref="N90" dT="2021-09-20T20:43:10.30" personId="{63B7C5B9-52C2-4B89-9281-40047EDF7D0A}" id="{C51DE453-1DF6-4414-B319-8B73ABEB7BA5}" parentId="{E3619D6B-27EB-4325-9ADE-95633E66E86F}">
    <text>@giannino, je confirme les calculs de Kloé. acoustique=1,7% (réactualisation suite mesures)+0.7% chiro=2.4% au total pour blx. Je ne comprends pas le calcul de DNV. le fichier centralisé de bridage est correct (vérifié avec le rapport acoustique).</text>
  </threadedComment>
  <threadedComment ref="O90" dT="2021-09-21T09:39:45.53" personId="{D71B3192-5CD8-434C-B6D3-AD059F4B477C}" id="{315D0720-3B8B-44A4-8147-1FB1DA9B447F}">
    <text>Inclus dans le bridage acoustique</text>
  </threadedComment>
  <threadedComment ref="Q90" dT="2021-09-20T10:44:36.07" personId="{B18B2608-85D6-4BF0-90C5-A482EDE14FAE}" id="{981EBB18-EF7D-484E-9D11-B31EDEA94C7B}">
    <text>Bridage chiro intergé avec l'acoustique par DNV, dans le fichier CDC nous avions 0,7%.</text>
  </threadedComment>
  <threadedComment ref="S90" dT="2021-09-19T20:29:03.29" personId="{B18B2608-85D6-4BF0-90C5-A482EDE14FAE}" id="{89CCCB81-BA23-4268-B47D-7987D250C7DB}">
    <text>l'éffet de l'amelioration est partiellement integré dans les calculs DNV.</text>
  </threadedComment>
  <threadedComment ref="K91" dT="2021-09-19T19:54:24.49" personId="{B18B2608-85D6-4BF0-90C5-A482EDE14FAE}" id="{1D9FAF66-7331-4DF5-8416-C629067CEB39}">
    <text>historique 2020-21 à 97,7%</text>
  </threadedComment>
  <threadedComment ref="N91" dT="2021-09-20T08:37:33.46" personId="{B18B2608-85D6-4BF0-90C5-A482EDE14FAE}" id="{D5F05DF7-E3C1-4377-98DF-CF89D19E0C44}">
    <text>DNV donne un curtailment globale de 0,10% (acoustique), ce qui est en ligne avec le fichier des bridages CDC à 0,10%.</text>
  </threadedComment>
  <threadedComment ref="N91" dT="2021-09-20T20:53:02.16" personId="{63B7C5B9-52C2-4B89-9281-40047EDF7D0A}" id="{2AB25E51-F5E9-4927-9BE1-6DC1DDF13A82}" parentId="{D5F05DF7-E3C1-4377-98DF-CF89D19E0C44}">
    <text>ok c'est bon</text>
  </threadedComment>
  <threadedComment ref="O91" dT="2021-09-21T09:39:45.53" personId="{D71B3192-5CD8-434C-B6D3-AD059F4B477C}" id="{3399ED63-36DA-4CBE-AEE6-13106BB7BBA6}">
    <text>Inclus dans le bridage acoustique</text>
  </threadedComment>
  <threadedComment ref="S91" dT="2021-09-19T20:29:03.29" personId="{B18B2608-85D6-4BF0-90C5-A482EDE14FAE}" id="{689591D6-FBF7-43E8-89F7-0444E4536B96}">
    <text>l'éffet de l'amelioration est partiellement integré dans les calculs DNV.</text>
  </threadedComment>
  <threadedComment ref="K92" dT="2021-09-19T19:54:24.49" personId="{B18B2608-85D6-4BF0-90C5-A482EDE14FAE}" id="{47927DC7-57A4-4145-BE46-248406F64F34}">
    <text>historique 2020-21 à 97,7%</text>
  </threadedComment>
  <threadedComment ref="N92" dT="2021-09-20T08:37:33.46" personId="{B18B2608-85D6-4BF0-90C5-A482EDE14FAE}" id="{F0053DFC-6129-453A-A38F-4C6668E05A9D}">
    <text>DNV donne un curtailment globale de 0,10% (acoustique), ce qui est en ligne avec le fichier des bridages CDC à 0,10%.</text>
  </threadedComment>
  <threadedComment ref="N92" dT="2021-09-20T20:53:02.16" personId="{63B7C5B9-52C2-4B89-9281-40047EDF7D0A}" id="{E98AD1A0-4D2D-4EA9-8B16-3B06D6A6B75A}" parentId="{F0053DFC-6129-453A-A38F-4C6668E05A9D}">
    <text>ok c'est bon</text>
  </threadedComment>
  <threadedComment ref="O92" dT="2021-09-21T09:39:45.53" personId="{D71B3192-5CD8-434C-B6D3-AD059F4B477C}" id="{9E06223F-DEBE-4FB7-B969-261781821A81}">
    <text>Inclus dans le bridage acoustique</text>
  </threadedComment>
  <threadedComment ref="S92" dT="2021-09-19T20:29:03.29" personId="{B18B2608-85D6-4BF0-90C5-A482EDE14FAE}" id="{406FF138-E2FE-4C01-AC1A-0DEB6592F6AF}">
    <text>l'éffet de l'amelioration est partiellement integré dans les calculs DNV.</text>
  </threadedComment>
  <threadedComment ref="N96" dT="2021-09-20T20:54:09.56" personId="{63B7C5B9-52C2-4B89-9281-40047EDF7D0A}" id="{031AFD5A-772A-467D-9429-A35287E89382}">
    <text>calcul des plans de bridages en cours sur les 2 directions (mesures en réception post-implantation terminées au printemps 2021).</text>
  </threadedComment>
  <threadedComment ref="Q96" dT="2021-09-20T20:55:03.67" personId="{63B7C5B9-52C2-4B89-9281-40047EDF7D0A}" id="{CA384558-A929-418C-A56D-DF929B760C8B}">
    <text>on attends les résultats des suivis 2021 afin de confirmer s'il y a ou pas un bridage chiro à prévoir (à première vue, enjeu faible)</text>
  </threadedComment>
  <threadedComment ref="S96" dT="2021-09-19T17:17:00.47" personId="{B18B2608-85D6-4BF0-90C5-A482EDE14FAE}" id="{567F2E7C-74C4-44ED-9A98-B2CAAA4B9883}">
    <text>Les pertes grivre enregistrés en 2020-21 sont exceprtionnelles (6 GWh entre janvier et avril) , les nouveaux reglages givre remettrons les pertes sur des valeurs prevus d'origine par DNV (~3,5% soit 3,8 GWh).</text>
  </threadedComment>
  <threadedComment ref="N97" dT="2021-05-28T07:08:00.23" personId="{63B7C5B9-52C2-4B89-9281-40047EDF7D0A}" id="{9C1ADBB7-729A-4754-B412-9F25653B3697}">
    <text>bridage pré-implantation activé depuis la MES (obligation APA)</text>
  </threadedComment>
  <threadedComment ref="Q97" dT="2021-09-20T22:31:45.15" personId="{63B7C5B9-52C2-4B89-9281-40047EDF7D0A}" id="{878244B9-0BF6-49C3-B7BD-467353AA9BC6}">
    <text>on attend les résultats des suivis 2021</text>
  </threadedComment>
  <threadedComment ref="N98" dT="2021-09-20T20:57:32.96" personId="{63B7C5B9-52C2-4B89-9281-40047EDF7D0A}" id="{249E1641-2CE4-4727-A0EA-5F3C735E3FB1}">
    <text>mesures post-implantation réalisées au printemps 2021-&gt; résultats conformes</text>
  </threadedComment>
  <threadedComment ref="Q98" dT="2021-09-20T22:31:45.15" personId="{63B7C5B9-52C2-4B89-9281-40047EDF7D0A}" id="{15908A28-E8BA-4CF3-904E-F682FDC9576A}">
    <text>on attend les résultats des suivis 2021</text>
  </threadedComment>
  <threadedComment ref="N99" dT="2021-09-20T20:57:32.96" personId="{63B7C5B9-52C2-4B89-9281-40047EDF7D0A}" id="{83E20746-2158-4236-A68D-BD88EE5F51BB}">
    <text>% à valider avec Ernani ( sur base pré-implantation). mesures prévues début 2022.</text>
  </threadedComment>
  <threadedComment ref="Q99" dT="2021-09-20T22:31:45.15" personId="{63B7C5B9-52C2-4B89-9281-40047EDF7D0A}" id="{0F94A13E-6DD3-4416-A263-9810FEAF4C83}">
    <text>suivis enviro prévus en 2022.</text>
  </threadedComment>
  <threadedComment ref="N102" dT="2021-05-28T07:08:51.11" personId="{63B7C5B9-52C2-4B89-9281-40047EDF7D0A}" id="{C46BE433-8CCB-4E3C-B7DA-448A6372091D}">
    <text>bridage pré-implantation activé depuis le 3 mai 2021. élargissement du secteur Est à 180° (plainte bruit)</text>
  </threadedComment>
  <threadedComment ref="Q102" dT="2021-09-20T22:33:20.30" personId="{63B7C5B9-52C2-4B89-9281-40047EDF7D0A}" id="{3DFC55DF-558D-47A1-8D23-6285982D5466}">
    <text>on attend les résultats de suivi</text>
  </threadedComment>
  <threadedComment ref="N103" dT="2021-09-20T21:24:08.99" personId="{63B7C5B9-52C2-4B89-9281-40047EDF7D0A}" id="{D5C41785-E8B2-4AC2-87E8-5A94962B237E}">
    <text>Ok, validé avec Ernani (mail du 21/09/21)</text>
  </threadedComment>
  <threadedComment ref="Q103" dT="2021-09-17T15:33:49.72" personId="{D71B3192-5CD8-434C-B6D3-AD059F4B477C}" id="{175A076F-F1CA-49A9-9FD9-85A00E6D5FCE}">
    <text>inclut dans le bridage acoustique</text>
  </threadedComment>
  <threadedComment ref="N104" dT="2021-09-20T21:24:27.16" personId="{63B7C5B9-52C2-4B89-9281-40047EDF7D0A}" id="{A1640C78-2F2C-42E9-A312-5988DAA7D004}">
    <text>Ok, validé avec Ernani (mail du 21/09/2021)</text>
  </threadedComment>
  <threadedComment ref="Q104" dT="2021-09-21T07:55:51.76" personId="{63B7C5B9-52C2-4B89-9281-40047EDF7D0A}" id="{B50D5456-A033-4441-BDF8-9AA2317A1197}">
    <text>ok validé avec Ernani (mail du 21/09/21)</text>
  </threadedComment>
  <threadedComment ref="N105" dT="2021-09-20T21:24:27.16" personId="{63B7C5B9-52C2-4B89-9281-40047EDF7D0A}" id="{B93E321F-8788-434A-BC2F-0A03A00EFEE9}">
    <text>Ok, validé avec Ernani (mail du 21/09/2021)</text>
  </threadedComment>
  <threadedComment ref="Q105" dT="2021-09-21T07:55:51.76" personId="{63B7C5B9-52C2-4B89-9281-40047EDF7D0A}" id="{322B2CFE-8F49-4A79-A759-8EC1DBC180EE}">
    <text>ok validé avec Ernani (mail du 21/09/21)</text>
  </threadedComment>
  <threadedComment ref="N106" dT="2021-09-20T21:24:27.16" personId="{63B7C5B9-52C2-4B89-9281-40047EDF7D0A}" id="{C1D0BAF9-A167-4173-81A8-FABB1D869FA3}">
    <text>Ok, validé avec Ernani (mail du 21/09/2021)</text>
  </threadedComment>
  <threadedComment ref="Q106" dT="2021-09-21T07:55:51.76" personId="{63B7C5B9-52C2-4B89-9281-40047EDF7D0A}" id="{DAC421A1-01BD-456B-9921-5B3454BD59C5}">
    <text>ok validé avec Ernani (mail du 21/09/21)</text>
  </threadedComment>
  <threadedComment ref="N107" dT="2021-09-20T21:24:27.16" personId="{63B7C5B9-52C2-4B89-9281-40047EDF7D0A}" id="{85AD0517-4D70-4710-B39A-2CC9F789B70A}">
    <text>Ok, validé avec Ernani (mail du 21/09/2021)</text>
  </threadedComment>
  <threadedComment ref="Q107" dT="2021-09-20T22:33:36.82" personId="{63B7C5B9-52C2-4B89-9281-40047EDF7D0A}" id="{F02263D2-B67D-488B-A160-9298AD236844}">
    <text>Ok validé averc Ernani (mail du 21/09/2021)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5DBA8D-DDE4-4C93-8A21-7D9DFADC243B}">
  <sheetPr>
    <tabColor theme="1"/>
  </sheetPr>
  <dimension ref="A1:X116"/>
  <sheetViews>
    <sheetView zoomScale="70" zoomScaleNormal="70" workbookViewId="0">
      <pane xSplit="5" ySplit="2" topLeftCell="F74" activePane="bottomRight" state="frozen"/>
      <selection activeCell="B100" sqref="B100"/>
      <selection pane="topRight" activeCell="B100" sqref="B100"/>
      <selection pane="bottomLeft" activeCell="B100" sqref="B100"/>
      <selection pane="bottomRight" activeCell="C92" sqref="C92"/>
    </sheetView>
  </sheetViews>
  <sheetFormatPr baseColWidth="10" defaultColWidth="11.453125" defaultRowHeight="14.5" outlineLevelCol="1" x14ac:dyDescent="0.35"/>
  <cols>
    <col min="1" max="1" width="18.1796875" customWidth="1"/>
    <col min="2" max="2" width="18.1796875" style="1" customWidth="1" outlineLevel="1"/>
    <col min="3" max="3" width="33.7265625" style="12" customWidth="1"/>
    <col min="4" max="4" width="16.54296875" style="1" customWidth="1"/>
    <col min="5" max="5" width="19.81640625" style="1" customWidth="1"/>
    <col min="6" max="7" width="43" style="9" customWidth="1"/>
    <col min="8" max="8" width="22.81640625" style="10" customWidth="1"/>
    <col min="9" max="9" width="22.453125" style="10" customWidth="1"/>
    <col min="10" max="12" width="21.54296875" style="10" customWidth="1"/>
    <col min="13" max="13" width="22.81640625" style="10" customWidth="1"/>
    <col min="14" max="14" width="22.453125" style="10" customWidth="1"/>
    <col min="15" max="15" width="42.26953125" style="11" customWidth="1"/>
    <col min="16" max="16" width="21.54296875" style="11" customWidth="1"/>
    <col min="17" max="17" width="21.54296875" style="9" customWidth="1"/>
    <col min="18" max="18" width="105.26953125" style="13" customWidth="1"/>
    <col min="19" max="19" width="12.7265625" style="87" customWidth="1" outlineLevel="1"/>
    <col min="20" max="20" width="13.453125" style="87" customWidth="1" outlineLevel="1"/>
    <col min="21" max="21" width="12.7265625" style="74" customWidth="1" outlineLevel="1"/>
    <col min="22" max="22" width="11.453125" style="74" customWidth="1" outlineLevel="1"/>
    <col min="23" max="23" width="90.26953125" style="81" customWidth="1" outlineLevel="1"/>
    <col min="24" max="24" width="34.81640625" style="81" customWidth="1" outlineLevel="1"/>
  </cols>
  <sheetData>
    <row r="1" spans="1:24" ht="15" thickBot="1" x14ac:dyDescent="0.4">
      <c r="A1" s="93" t="s">
        <v>321</v>
      </c>
      <c r="E1" s="39"/>
      <c r="F1" s="286" t="s">
        <v>0</v>
      </c>
      <c r="G1" s="287"/>
      <c r="H1" s="282" t="s">
        <v>1</v>
      </c>
      <c r="I1" s="283"/>
      <c r="J1" s="282" t="s">
        <v>2</v>
      </c>
      <c r="K1" s="284"/>
      <c r="L1" s="284"/>
      <c r="M1" s="283"/>
      <c r="N1" s="14" t="s">
        <v>1</v>
      </c>
      <c r="O1" s="8"/>
      <c r="P1" s="8"/>
      <c r="Q1" s="1"/>
      <c r="S1" s="285" t="s">
        <v>3</v>
      </c>
      <c r="T1" s="285"/>
      <c r="U1" s="285"/>
      <c r="V1" s="285"/>
      <c r="W1" s="285"/>
    </row>
    <row r="2" spans="1:24" s="7" customFormat="1" ht="66" customHeight="1" thickBot="1" x14ac:dyDescent="0.4">
      <c r="A2" s="7" t="s">
        <v>4</v>
      </c>
      <c r="B2" s="2" t="s">
        <v>5</v>
      </c>
      <c r="C2" s="2" t="s">
        <v>6</v>
      </c>
      <c r="D2" s="3" t="s">
        <v>7</v>
      </c>
      <c r="E2" s="6" t="s">
        <v>8</v>
      </c>
      <c r="F2" s="15" t="s">
        <v>9</v>
      </c>
      <c r="G2" s="15" t="s">
        <v>10</v>
      </c>
      <c r="H2" s="16" t="s">
        <v>11</v>
      </c>
      <c r="I2" s="17" t="s">
        <v>12</v>
      </c>
      <c r="J2" s="16" t="s">
        <v>13</v>
      </c>
      <c r="K2" s="4" t="s">
        <v>14</v>
      </c>
      <c r="L2" s="19" t="s">
        <v>15</v>
      </c>
      <c r="M2" s="17" t="s">
        <v>16</v>
      </c>
      <c r="N2" s="18" t="s">
        <v>17</v>
      </c>
      <c r="O2" s="5" t="s">
        <v>320</v>
      </c>
      <c r="P2" s="69" t="s">
        <v>18</v>
      </c>
      <c r="Q2" s="3" t="s">
        <v>19</v>
      </c>
      <c r="R2" s="6" t="s">
        <v>20</v>
      </c>
      <c r="S2" s="75" t="s">
        <v>21</v>
      </c>
      <c r="T2" s="76" t="s">
        <v>22</v>
      </c>
      <c r="U2" s="76" t="s">
        <v>23</v>
      </c>
      <c r="V2" s="76" t="s">
        <v>22</v>
      </c>
      <c r="W2" s="76" t="s">
        <v>24</v>
      </c>
      <c r="X2" s="94" t="s">
        <v>280</v>
      </c>
    </row>
    <row r="3" spans="1:24" x14ac:dyDescent="0.35">
      <c r="B3" s="38" t="s">
        <v>25</v>
      </c>
      <c r="C3" s="12" t="s">
        <v>26</v>
      </c>
      <c r="D3" s="39">
        <v>17000000</v>
      </c>
      <c r="E3" s="40" t="s">
        <v>27</v>
      </c>
      <c r="F3" s="22">
        <v>17000000</v>
      </c>
      <c r="G3" s="35">
        <v>15800000</v>
      </c>
      <c r="H3" s="25">
        <v>0.94</v>
      </c>
      <c r="I3" s="96">
        <v>0.94</v>
      </c>
      <c r="J3" s="25">
        <v>0</v>
      </c>
      <c r="K3" s="31">
        <v>0</v>
      </c>
      <c r="L3" s="20">
        <v>0</v>
      </c>
      <c r="M3" s="26">
        <v>0</v>
      </c>
      <c r="N3" s="37">
        <v>0</v>
      </c>
      <c r="O3" s="22">
        <f t="shared" ref="O3:O66" si="0">F3/H3*I3/(1-J3)*(1-K3)/(1-L3)*(1-M3)*(1+N3)</f>
        <v>17000000</v>
      </c>
      <c r="P3" s="22">
        <f>G3/H3*I3/(1-J3)*(1-K3)/(1-L3)*(1-M3)*(1+N3)</f>
        <v>15800000.000000002</v>
      </c>
      <c r="Q3" s="10">
        <f>(O3-D3)/D3</f>
        <v>0</v>
      </c>
      <c r="S3" s="77">
        <f>O3-D3</f>
        <v>0</v>
      </c>
      <c r="T3" s="78">
        <f>S3/D3</f>
        <v>0</v>
      </c>
      <c r="U3" s="97">
        <f t="shared" ref="U3:U66" si="1">O3-F3</f>
        <v>0</v>
      </c>
      <c r="V3" s="79">
        <f t="shared" ref="V3:V66" si="2">U3/F3</f>
        <v>0</v>
      </c>
      <c r="W3" s="90"/>
    </row>
    <row r="4" spans="1:24" x14ac:dyDescent="0.35">
      <c r="B4" s="38" t="s">
        <v>28</v>
      </c>
      <c r="C4" s="12" t="s">
        <v>29</v>
      </c>
      <c r="D4" s="39">
        <v>10600000.000000002</v>
      </c>
      <c r="E4" s="40" t="s">
        <v>27</v>
      </c>
      <c r="F4" s="22">
        <v>10600000.000000002</v>
      </c>
      <c r="G4" s="35">
        <v>9800000</v>
      </c>
      <c r="H4" s="25">
        <v>0.97499999999999998</v>
      </c>
      <c r="I4" s="96">
        <v>0.97499999999999998</v>
      </c>
      <c r="J4" s="25">
        <v>0</v>
      </c>
      <c r="K4" s="31">
        <v>0</v>
      </c>
      <c r="L4" s="20">
        <v>0</v>
      </c>
      <c r="M4" s="26">
        <v>0</v>
      </c>
      <c r="N4" s="37">
        <v>0</v>
      </c>
      <c r="O4" s="22">
        <f t="shared" si="0"/>
        <v>10600000.000000002</v>
      </c>
      <c r="P4" s="22">
        <f t="shared" ref="P4:P6" si="3">G4/H4*I4/(1-J4)*(1-K4)/(1-L4)*(1-M4)*(1+N4)</f>
        <v>9800000</v>
      </c>
      <c r="Q4" s="10">
        <f t="shared" ref="Q4:Q67" si="4">(O4-D4)/D4</f>
        <v>0</v>
      </c>
      <c r="S4" s="77">
        <f t="shared" ref="S4:S67" si="5">O4-D4</f>
        <v>0</v>
      </c>
      <c r="T4" s="78">
        <f t="shared" ref="T4:T67" si="6">S4/D4</f>
        <v>0</v>
      </c>
      <c r="U4" s="97">
        <f t="shared" si="1"/>
        <v>0</v>
      </c>
      <c r="V4" s="79">
        <f t="shared" si="2"/>
        <v>0</v>
      </c>
      <c r="W4" s="90"/>
    </row>
    <row r="5" spans="1:24" x14ac:dyDescent="0.35">
      <c r="B5" s="38" t="s">
        <v>30</v>
      </c>
      <c r="C5" s="12" t="s">
        <v>31</v>
      </c>
      <c r="D5" s="39">
        <v>6100000.0000000019</v>
      </c>
      <c r="E5" s="40" t="s">
        <v>32</v>
      </c>
      <c r="F5" s="22">
        <v>6100000.0000000019</v>
      </c>
      <c r="G5" s="35">
        <v>5600000</v>
      </c>
      <c r="H5" s="25">
        <v>0.97299999999999998</v>
      </c>
      <c r="I5" s="96">
        <v>0.97299999999999998</v>
      </c>
      <c r="J5" s="25">
        <v>0</v>
      </c>
      <c r="K5" s="31">
        <v>0</v>
      </c>
      <c r="L5" s="20">
        <v>0</v>
      </c>
      <c r="M5" s="26">
        <v>0</v>
      </c>
      <c r="N5" s="37">
        <v>0</v>
      </c>
      <c r="O5" s="22">
        <f t="shared" si="0"/>
        <v>6100000.0000000019</v>
      </c>
      <c r="P5" s="22">
        <f t="shared" si="3"/>
        <v>5600000</v>
      </c>
      <c r="Q5" s="10">
        <f t="shared" si="4"/>
        <v>0</v>
      </c>
      <c r="S5" s="77">
        <f t="shared" si="5"/>
        <v>0</v>
      </c>
      <c r="T5" s="78">
        <f t="shared" si="6"/>
        <v>0</v>
      </c>
      <c r="U5" s="97">
        <f t="shared" si="1"/>
        <v>0</v>
      </c>
      <c r="V5" s="79">
        <f t="shared" si="2"/>
        <v>0</v>
      </c>
      <c r="W5" s="90"/>
    </row>
    <row r="6" spans="1:24" x14ac:dyDescent="0.35">
      <c r="B6" s="38" t="s">
        <v>33</v>
      </c>
      <c r="C6" s="12" t="s">
        <v>34</v>
      </c>
      <c r="D6" s="39">
        <v>17699999.999999996</v>
      </c>
      <c r="E6" s="40" t="s">
        <v>32</v>
      </c>
      <c r="F6" s="22">
        <v>17500000</v>
      </c>
      <c r="G6" s="35">
        <v>15800000</v>
      </c>
      <c r="H6" s="25">
        <v>0.95499999999999996</v>
      </c>
      <c r="I6" s="98">
        <v>0.9659143</v>
      </c>
      <c r="J6" s="25">
        <v>0</v>
      </c>
      <c r="K6" s="31">
        <v>0</v>
      </c>
      <c r="L6" s="20">
        <v>0</v>
      </c>
      <c r="M6" s="26">
        <v>0</v>
      </c>
      <c r="N6" s="37">
        <v>0</v>
      </c>
      <c r="O6" s="99">
        <f t="shared" si="0"/>
        <v>17700000.261780106</v>
      </c>
      <c r="P6" s="22">
        <f t="shared" si="3"/>
        <v>15980571.664921466</v>
      </c>
      <c r="Q6" s="10">
        <f t="shared" si="4"/>
        <v>1.4789836681158533E-8</v>
      </c>
      <c r="S6" s="77">
        <f t="shared" si="5"/>
        <v>0.26178010925650597</v>
      </c>
      <c r="T6" s="78">
        <f t="shared" si="6"/>
        <v>1.4789836681158533E-8</v>
      </c>
      <c r="U6" s="97">
        <f t="shared" si="1"/>
        <v>200000.26178010553</v>
      </c>
      <c r="V6" s="79">
        <f t="shared" si="2"/>
        <v>1.1428586387434601E-2</v>
      </c>
      <c r="W6" s="90" t="s">
        <v>281</v>
      </c>
    </row>
    <row r="7" spans="1:24" x14ac:dyDescent="0.35">
      <c r="B7" s="38" t="s">
        <v>35</v>
      </c>
      <c r="C7" s="100" t="s">
        <v>36</v>
      </c>
      <c r="D7" s="39">
        <v>18697917.519622538</v>
      </c>
      <c r="E7" s="40" t="s">
        <v>27</v>
      </c>
      <c r="F7" s="22">
        <v>18697917.519622538</v>
      </c>
      <c r="G7" s="35">
        <v>17048923.298908446</v>
      </c>
      <c r="H7" s="101">
        <v>0.94</v>
      </c>
      <c r="I7" s="98">
        <f>94%+1%</f>
        <v>0.95</v>
      </c>
      <c r="J7" s="25" t="s">
        <v>37</v>
      </c>
      <c r="K7" s="31" t="s">
        <v>37</v>
      </c>
      <c r="L7" s="20">
        <v>0</v>
      </c>
      <c r="M7" s="26">
        <v>0</v>
      </c>
      <c r="N7" s="37">
        <v>0</v>
      </c>
      <c r="O7" s="99">
        <f>F7/H7*I7/(1-L7)*(1-M7)*(1+N7)</f>
        <v>18896831.535788734</v>
      </c>
      <c r="P7" s="22">
        <f>G7/H7*I7/(1-L7)*(1-M7)*(1+N7)</f>
        <v>17230294.823364921</v>
      </c>
      <c r="Q7" s="10">
        <f t="shared" si="4"/>
        <v>1.0638297872340321E-2</v>
      </c>
      <c r="R7" s="13" t="s">
        <v>38</v>
      </c>
      <c r="S7" s="77">
        <f t="shared" si="5"/>
        <v>198914.01616619527</v>
      </c>
      <c r="T7" s="78">
        <f t="shared" si="6"/>
        <v>1.0638297872340321E-2</v>
      </c>
      <c r="U7" s="97">
        <f t="shared" si="1"/>
        <v>198914.01616619527</v>
      </c>
      <c r="V7" s="79">
        <f t="shared" si="2"/>
        <v>1.0638297872340321E-2</v>
      </c>
      <c r="W7" s="90"/>
      <c r="X7" s="102" t="s">
        <v>282</v>
      </c>
    </row>
    <row r="8" spans="1:24" x14ac:dyDescent="0.35">
      <c r="B8" s="38" t="s">
        <v>39</v>
      </c>
      <c r="C8" s="100" t="s">
        <v>40</v>
      </c>
      <c r="D8" s="39">
        <v>12451657.826999178</v>
      </c>
      <c r="E8" s="40" t="s">
        <v>27</v>
      </c>
      <c r="F8" s="22">
        <v>12451657.826999178</v>
      </c>
      <c r="G8" s="35">
        <v>11353529.558250373</v>
      </c>
      <c r="H8" s="101">
        <v>0.94</v>
      </c>
      <c r="I8" s="98">
        <f t="shared" ref="I8:I10" si="7">94%+1%</f>
        <v>0.95</v>
      </c>
      <c r="J8" s="25" t="s">
        <v>37</v>
      </c>
      <c r="K8" s="31" t="s">
        <v>37</v>
      </c>
      <c r="L8" s="20">
        <v>0</v>
      </c>
      <c r="M8" s="26">
        <v>0</v>
      </c>
      <c r="N8" s="37">
        <v>0</v>
      </c>
      <c r="O8" s="99">
        <f t="shared" ref="O8:O10" si="8">F8/H8*I8/(1-L8)*(1-M8)*(1+N8)</f>
        <v>12584122.271967255</v>
      </c>
      <c r="P8" s="22">
        <f t="shared" ref="P8:P10" si="9">G8/H8*I8/(1-L8)*(1-M8)*(1+N8)</f>
        <v>11474311.787593463</v>
      </c>
      <c r="Q8" s="10">
        <f t="shared" si="4"/>
        <v>1.063829787234043E-2</v>
      </c>
      <c r="R8" s="13" t="s">
        <v>38</v>
      </c>
      <c r="S8" s="77">
        <f t="shared" si="5"/>
        <v>132464.44496807642</v>
      </c>
      <c r="T8" s="78">
        <f t="shared" si="6"/>
        <v>1.063829787234043E-2</v>
      </c>
      <c r="U8" s="97">
        <f t="shared" si="1"/>
        <v>132464.44496807642</v>
      </c>
      <c r="V8" s="79">
        <f t="shared" si="2"/>
        <v>1.063829787234043E-2</v>
      </c>
      <c r="W8" s="90"/>
      <c r="X8" s="102" t="s">
        <v>282</v>
      </c>
    </row>
    <row r="9" spans="1:24" x14ac:dyDescent="0.35">
      <c r="B9" s="38" t="s">
        <v>41</v>
      </c>
      <c r="C9" s="100" t="s">
        <v>42</v>
      </c>
      <c r="D9" s="39">
        <v>16172480.964247229</v>
      </c>
      <c r="E9" s="40" t="s">
        <v>27</v>
      </c>
      <c r="F9" s="22">
        <v>16172480.964247229</v>
      </c>
      <c r="G9" s="35">
        <v>14746208.353050539</v>
      </c>
      <c r="H9" s="101">
        <v>0.94</v>
      </c>
      <c r="I9" s="98">
        <f t="shared" si="7"/>
        <v>0.95</v>
      </c>
      <c r="J9" s="25" t="s">
        <v>37</v>
      </c>
      <c r="K9" s="31" t="s">
        <v>37</v>
      </c>
      <c r="L9" s="20">
        <v>0</v>
      </c>
      <c r="M9" s="26">
        <v>0</v>
      </c>
      <c r="N9" s="37">
        <v>0</v>
      </c>
      <c r="O9" s="99">
        <f t="shared" si="8"/>
        <v>16344528.634079646</v>
      </c>
      <c r="P9" s="22">
        <f t="shared" si="9"/>
        <v>14903082.909997884</v>
      </c>
      <c r="Q9" s="10">
        <f t="shared" si="4"/>
        <v>1.0638297872340451E-2</v>
      </c>
      <c r="R9" s="13" t="s">
        <v>38</v>
      </c>
      <c r="S9" s="77">
        <f t="shared" si="5"/>
        <v>172047.66983241774</v>
      </c>
      <c r="T9" s="78">
        <f t="shared" si="6"/>
        <v>1.0638297872340451E-2</v>
      </c>
      <c r="U9" s="97">
        <f t="shared" si="1"/>
        <v>172047.66983241774</v>
      </c>
      <c r="V9" s="79">
        <f t="shared" si="2"/>
        <v>1.0638297872340451E-2</v>
      </c>
      <c r="W9" s="90"/>
      <c r="X9" s="102" t="s">
        <v>282</v>
      </c>
    </row>
    <row r="10" spans="1:24" x14ac:dyDescent="0.35">
      <c r="B10" s="38" t="s">
        <v>43</v>
      </c>
      <c r="C10" s="100" t="s">
        <v>44</v>
      </c>
      <c r="D10" s="39">
        <v>19577943.689131051</v>
      </c>
      <c r="E10" s="40" t="s">
        <v>27</v>
      </c>
      <c r="F10" s="22">
        <v>19577943.689131051</v>
      </c>
      <c r="G10" s="35">
        <v>17851338.789790649</v>
      </c>
      <c r="H10" s="101">
        <v>0.94</v>
      </c>
      <c r="I10" s="98">
        <f t="shared" si="7"/>
        <v>0.95</v>
      </c>
      <c r="J10" s="25" t="s">
        <v>37</v>
      </c>
      <c r="K10" s="31" t="s">
        <v>37</v>
      </c>
      <c r="L10" s="20">
        <v>0</v>
      </c>
      <c r="M10" s="26">
        <v>0</v>
      </c>
      <c r="N10" s="37">
        <v>0</v>
      </c>
      <c r="O10" s="99">
        <f t="shared" si="8"/>
        <v>19786219.685823932</v>
      </c>
      <c r="P10" s="22">
        <f t="shared" si="9"/>
        <v>18041246.649256505</v>
      </c>
      <c r="Q10" s="10">
        <f t="shared" si="4"/>
        <v>1.0638297872340295E-2</v>
      </c>
      <c r="R10" s="13" t="s">
        <v>38</v>
      </c>
      <c r="S10" s="77">
        <f t="shared" si="5"/>
        <v>208275.99669288099</v>
      </c>
      <c r="T10" s="78">
        <f t="shared" si="6"/>
        <v>1.0638297872340295E-2</v>
      </c>
      <c r="U10" s="97">
        <f t="shared" si="1"/>
        <v>208275.99669288099</v>
      </c>
      <c r="V10" s="79">
        <f t="shared" si="2"/>
        <v>1.0638297872340295E-2</v>
      </c>
      <c r="W10" s="90"/>
      <c r="X10" s="102" t="s">
        <v>282</v>
      </c>
    </row>
    <row r="11" spans="1:24" x14ac:dyDescent="0.35">
      <c r="B11" s="38" t="s">
        <v>45</v>
      </c>
      <c r="C11" s="12" t="s">
        <v>46</v>
      </c>
      <c r="D11" s="39">
        <v>8522182.318710342</v>
      </c>
      <c r="E11" s="40" t="s">
        <v>27</v>
      </c>
      <c r="F11" s="22" t="s">
        <v>47</v>
      </c>
      <c r="G11" s="35" t="s">
        <v>47</v>
      </c>
      <c r="H11" s="27" t="s">
        <v>47</v>
      </c>
      <c r="I11" s="96" t="s">
        <v>47</v>
      </c>
      <c r="J11" s="27" t="s">
        <v>47</v>
      </c>
      <c r="K11" s="9" t="s">
        <v>47</v>
      </c>
      <c r="L11" s="9" t="s">
        <v>47</v>
      </c>
      <c r="M11" s="28" t="s">
        <v>47</v>
      </c>
      <c r="N11" s="37" t="s">
        <v>47</v>
      </c>
      <c r="O11" s="22" t="s">
        <v>47</v>
      </c>
      <c r="P11" s="22" t="s">
        <v>47</v>
      </c>
      <c r="Q11" s="10" t="s">
        <v>47</v>
      </c>
      <c r="R11" s="13" t="s">
        <v>48</v>
      </c>
      <c r="S11" s="77" t="e">
        <f t="shared" si="5"/>
        <v>#VALUE!</v>
      </c>
      <c r="T11" s="78" t="e">
        <f>S11/D11</f>
        <v>#VALUE!</v>
      </c>
      <c r="U11" s="97" t="e">
        <f t="shared" si="1"/>
        <v>#VALUE!</v>
      </c>
      <c r="V11" s="79" t="e">
        <f t="shared" si="2"/>
        <v>#VALUE!</v>
      </c>
      <c r="W11" s="90"/>
    </row>
    <row r="12" spans="1:24" x14ac:dyDescent="0.35">
      <c r="B12" s="38" t="s">
        <v>49</v>
      </c>
      <c r="C12" s="12" t="s">
        <v>50</v>
      </c>
      <c r="D12" s="39">
        <v>8300846.0041919611</v>
      </c>
      <c r="E12" s="40" t="s">
        <v>27</v>
      </c>
      <c r="F12" s="22" t="s">
        <v>47</v>
      </c>
      <c r="G12" s="35" t="s">
        <v>47</v>
      </c>
      <c r="H12" s="27" t="s">
        <v>47</v>
      </c>
      <c r="I12" s="96" t="s">
        <v>47</v>
      </c>
      <c r="J12" s="27" t="s">
        <v>47</v>
      </c>
      <c r="K12" s="9" t="s">
        <v>47</v>
      </c>
      <c r="L12" s="9" t="s">
        <v>47</v>
      </c>
      <c r="M12" s="28" t="s">
        <v>47</v>
      </c>
      <c r="N12" s="37" t="s">
        <v>47</v>
      </c>
      <c r="O12" s="22" t="s">
        <v>47</v>
      </c>
      <c r="P12" s="22" t="s">
        <v>47</v>
      </c>
      <c r="Q12" s="10" t="s">
        <v>47</v>
      </c>
      <c r="R12" s="13" t="s">
        <v>48</v>
      </c>
      <c r="S12" s="77" t="e">
        <f t="shared" si="5"/>
        <v>#VALUE!</v>
      </c>
      <c r="T12" s="78" t="e">
        <f t="shared" si="6"/>
        <v>#VALUE!</v>
      </c>
      <c r="U12" s="97" t="e">
        <f t="shared" si="1"/>
        <v>#VALUE!</v>
      </c>
      <c r="V12" s="79" t="e">
        <f t="shared" si="2"/>
        <v>#VALUE!</v>
      </c>
      <c r="W12" s="90"/>
    </row>
    <row r="13" spans="1:24" x14ac:dyDescent="0.35">
      <c r="B13" s="38" t="s">
        <v>51</v>
      </c>
      <c r="C13" s="100" t="s">
        <v>52</v>
      </c>
      <c r="D13" s="39">
        <v>12200000.000000004</v>
      </c>
      <c r="E13" s="40" t="s">
        <v>27</v>
      </c>
      <c r="F13" s="22">
        <v>12200000.000000004</v>
      </c>
      <c r="G13" s="35">
        <v>11400000</v>
      </c>
      <c r="H13" s="101">
        <v>0.94499999999999995</v>
      </c>
      <c r="I13" s="98">
        <f>94.5%+1%</f>
        <v>0.95499999999999996</v>
      </c>
      <c r="J13" s="25">
        <v>8.9999999999999993E-3</v>
      </c>
      <c r="K13" s="31">
        <v>8.9999999999999993E-3</v>
      </c>
      <c r="L13" s="20">
        <v>0</v>
      </c>
      <c r="M13" s="26">
        <v>0</v>
      </c>
      <c r="N13" s="37">
        <v>0</v>
      </c>
      <c r="O13" s="99">
        <f>F13/H13*I13/(1-J13)*(1-K13)/(1-L13)*(1-M13)*(1+N13)</f>
        <v>12329100.529100532</v>
      </c>
      <c r="P13" s="22">
        <f>G13/H13*I13/(1-J13)*(1-K13)/(1-L13)*(1-M13)*(1+N13)</f>
        <v>11520634.92063492</v>
      </c>
      <c r="Q13" s="10">
        <f t="shared" si="4"/>
        <v>1.0582010582010488E-2</v>
      </c>
      <c r="S13" s="77">
        <f t="shared" si="5"/>
        <v>129100.52910052799</v>
      </c>
      <c r="T13" s="78">
        <f t="shared" si="6"/>
        <v>1.0582010582010488E-2</v>
      </c>
      <c r="U13" s="97">
        <f t="shared" si="1"/>
        <v>129100.52910052799</v>
      </c>
      <c r="V13" s="79">
        <f t="shared" si="2"/>
        <v>1.0582010582010488E-2</v>
      </c>
      <c r="W13" s="90" t="s">
        <v>53</v>
      </c>
      <c r="X13" s="102" t="s">
        <v>282</v>
      </c>
    </row>
    <row r="14" spans="1:24" x14ac:dyDescent="0.35">
      <c r="B14" s="38" t="s">
        <v>54</v>
      </c>
      <c r="C14" s="12" t="s">
        <v>55</v>
      </c>
      <c r="D14" s="39">
        <v>18541000</v>
      </c>
      <c r="E14" s="40" t="s">
        <v>56</v>
      </c>
      <c r="F14" s="22">
        <v>18541000</v>
      </c>
      <c r="G14" s="35">
        <v>17400000</v>
      </c>
      <c r="H14" s="25">
        <v>0.96799999999999997</v>
      </c>
      <c r="I14" s="96">
        <v>0.96799999999999997</v>
      </c>
      <c r="J14" s="25">
        <v>0</v>
      </c>
      <c r="K14" s="31">
        <v>0</v>
      </c>
      <c r="L14" s="20">
        <v>0</v>
      </c>
      <c r="M14" s="26">
        <v>0</v>
      </c>
      <c r="N14" s="37">
        <v>0</v>
      </c>
      <c r="O14" s="22">
        <f t="shared" si="0"/>
        <v>18541000</v>
      </c>
      <c r="P14" s="22">
        <f t="shared" ref="P14:P75" si="10">G14/H14*I14/(1-J14)*(1-K14)/(1-L14)*(1-M14)*(1+N14)</f>
        <v>17400000</v>
      </c>
      <c r="Q14" s="10">
        <f t="shared" si="4"/>
        <v>0</v>
      </c>
      <c r="S14" s="77">
        <f t="shared" si="5"/>
        <v>0</v>
      </c>
      <c r="T14" s="78">
        <f t="shared" si="6"/>
        <v>0</v>
      </c>
      <c r="U14" s="97">
        <f t="shared" si="1"/>
        <v>0</v>
      </c>
      <c r="V14" s="79">
        <f t="shared" si="2"/>
        <v>0</v>
      </c>
      <c r="W14" s="90"/>
    </row>
    <row r="15" spans="1:24" x14ac:dyDescent="0.35">
      <c r="B15" s="38" t="s">
        <v>57</v>
      </c>
      <c r="C15" s="100" t="s">
        <v>58</v>
      </c>
      <c r="D15" s="39">
        <v>29600000</v>
      </c>
      <c r="E15" s="40" t="s">
        <v>27</v>
      </c>
      <c r="F15" s="22">
        <v>29600000</v>
      </c>
      <c r="G15" s="35">
        <v>27400000</v>
      </c>
      <c r="H15" s="25">
        <v>0.96299999999999997</v>
      </c>
      <c r="I15" s="96">
        <v>0.96299999999999997</v>
      </c>
      <c r="J15" s="25">
        <v>0</v>
      </c>
      <c r="K15" s="31">
        <v>0</v>
      </c>
      <c r="L15" s="20">
        <v>0</v>
      </c>
      <c r="M15" s="26">
        <v>0</v>
      </c>
      <c r="N15" s="37">
        <v>0</v>
      </c>
      <c r="O15" s="22">
        <f t="shared" si="0"/>
        <v>29600000</v>
      </c>
      <c r="P15" s="22">
        <f t="shared" si="10"/>
        <v>27400000</v>
      </c>
      <c r="Q15" s="10">
        <f t="shared" si="4"/>
        <v>0</v>
      </c>
      <c r="S15" s="77">
        <f t="shared" si="5"/>
        <v>0</v>
      </c>
      <c r="T15" s="78">
        <f t="shared" si="6"/>
        <v>0</v>
      </c>
      <c r="U15" s="97">
        <f t="shared" si="1"/>
        <v>0</v>
      </c>
      <c r="V15" s="79">
        <f t="shared" si="2"/>
        <v>0</v>
      </c>
      <c r="W15" s="90"/>
    </row>
    <row r="16" spans="1:24" x14ac:dyDescent="0.35">
      <c r="B16" s="38" t="s">
        <v>59</v>
      </c>
      <c r="C16" s="12" t="s">
        <v>60</v>
      </c>
      <c r="D16" s="39">
        <v>19599999.999999996</v>
      </c>
      <c r="E16" s="40" t="s">
        <v>27</v>
      </c>
      <c r="F16" s="22">
        <v>19599999.999999996</v>
      </c>
      <c r="G16" s="35">
        <v>18000000</v>
      </c>
      <c r="H16" s="25">
        <v>0.97599999999999998</v>
      </c>
      <c r="I16" s="96">
        <v>0.97599999999999998</v>
      </c>
      <c r="J16" s="25">
        <v>0</v>
      </c>
      <c r="K16" s="31">
        <v>0</v>
      </c>
      <c r="L16" s="20">
        <v>0</v>
      </c>
      <c r="M16" s="26">
        <v>0</v>
      </c>
      <c r="N16" s="37">
        <v>0</v>
      </c>
      <c r="O16" s="22">
        <f t="shared" si="0"/>
        <v>19599999.999999996</v>
      </c>
      <c r="P16" s="22">
        <f t="shared" si="10"/>
        <v>18000000</v>
      </c>
      <c r="Q16" s="10">
        <f t="shared" si="4"/>
        <v>0</v>
      </c>
      <c r="S16" s="77">
        <f t="shared" si="5"/>
        <v>0</v>
      </c>
      <c r="T16" s="78">
        <f t="shared" si="6"/>
        <v>0</v>
      </c>
      <c r="U16" s="97">
        <f t="shared" si="1"/>
        <v>0</v>
      </c>
      <c r="V16" s="79">
        <f t="shared" si="2"/>
        <v>0</v>
      </c>
      <c r="W16" s="90"/>
    </row>
    <row r="17" spans="1:24" x14ac:dyDescent="0.35">
      <c r="B17" s="38" t="s">
        <v>61</v>
      </c>
      <c r="C17" s="12" t="s">
        <v>62</v>
      </c>
      <c r="D17" s="39">
        <v>25756897.611072589</v>
      </c>
      <c r="E17" s="40" t="s">
        <v>27</v>
      </c>
      <c r="F17" s="22">
        <v>25756897.611072589</v>
      </c>
      <c r="G17" s="117">
        <v>23932000</v>
      </c>
      <c r="H17" s="25">
        <v>0.98199999999999998</v>
      </c>
      <c r="I17" s="96">
        <v>0.98199999999999998</v>
      </c>
      <c r="J17" s="25">
        <v>0</v>
      </c>
      <c r="K17" s="31">
        <v>0</v>
      </c>
      <c r="L17" s="20">
        <v>0</v>
      </c>
      <c r="M17" s="26">
        <v>0</v>
      </c>
      <c r="N17" s="37">
        <v>0</v>
      </c>
      <c r="O17" s="22">
        <f t="shared" si="0"/>
        <v>25756897.611072589</v>
      </c>
      <c r="P17" s="22">
        <f t="shared" si="10"/>
        <v>23932000</v>
      </c>
      <c r="Q17" s="10">
        <f t="shared" si="4"/>
        <v>0</v>
      </c>
      <c r="R17" s="13" t="s">
        <v>38</v>
      </c>
      <c r="S17" s="77">
        <f t="shared" si="5"/>
        <v>0</v>
      </c>
      <c r="T17" s="78">
        <f t="shared" si="6"/>
        <v>0</v>
      </c>
      <c r="U17" s="97">
        <f t="shared" si="1"/>
        <v>0</v>
      </c>
      <c r="V17" s="79">
        <f t="shared" si="2"/>
        <v>0</v>
      </c>
      <c r="W17" s="90"/>
    </row>
    <row r="18" spans="1:24" x14ac:dyDescent="0.35">
      <c r="B18" s="38" t="s">
        <v>61</v>
      </c>
      <c r="C18" s="12" t="s">
        <v>63</v>
      </c>
      <c r="D18" s="39">
        <v>12767652.564214561</v>
      </c>
      <c r="E18" s="40" t="s">
        <v>27</v>
      </c>
      <c r="F18" s="22">
        <v>12767652.564214561</v>
      </c>
      <c r="G18" s="117">
        <v>11863000</v>
      </c>
      <c r="H18" s="25">
        <v>0.98199999999999998</v>
      </c>
      <c r="I18" s="96">
        <v>0.98199999999999998</v>
      </c>
      <c r="J18" s="25">
        <v>0</v>
      </c>
      <c r="K18" s="31">
        <v>0</v>
      </c>
      <c r="L18" s="20">
        <v>0</v>
      </c>
      <c r="M18" s="26">
        <v>0</v>
      </c>
      <c r="N18" s="37">
        <v>0</v>
      </c>
      <c r="O18" s="22">
        <f t="shared" si="0"/>
        <v>12767652.564214561</v>
      </c>
      <c r="P18" s="22">
        <f t="shared" si="10"/>
        <v>11863000</v>
      </c>
      <c r="Q18" s="10">
        <f t="shared" si="4"/>
        <v>0</v>
      </c>
      <c r="R18" s="13" t="s">
        <v>38</v>
      </c>
      <c r="S18" s="77">
        <f t="shared" si="5"/>
        <v>0</v>
      </c>
      <c r="T18" s="78">
        <f t="shared" si="6"/>
        <v>0</v>
      </c>
      <c r="U18" s="97">
        <f t="shared" si="1"/>
        <v>0</v>
      </c>
      <c r="V18" s="79">
        <f t="shared" si="2"/>
        <v>0</v>
      </c>
      <c r="W18" s="90"/>
    </row>
    <row r="19" spans="1:24" x14ac:dyDescent="0.35">
      <c r="B19" s="38" t="s">
        <v>61</v>
      </c>
      <c r="C19" s="12" t="s">
        <v>64</v>
      </c>
      <c r="D19" s="39">
        <v>24975449.824712824</v>
      </c>
      <c r="E19" s="40" t="s">
        <v>27</v>
      </c>
      <c r="F19" s="22">
        <v>24975449.824712824</v>
      </c>
      <c r="G19" s="117">
        <v>23206000</v>
      </c>
      <c r="H19" s="25">
        <v>0.98199999999999998</v>
      </c>
      <c r="I19" s="96">
        <v>0.98199999999999998</v>
      </c>
      <c r="J19" s="25">
        <v>0</v>
      </c>
      <c r="K19" s="31">
        <v>0</v>
      </c>
      <c r="L19" s="20">
        <v>0</v>
      </c>
      <c r="M19" s="26">
        <v>0</v>
      </c>
      <c r="N19" s="37">
        <v>0</v>
      </c>
      <c r="O19" s="22">
        <f t="shared" si="0"/>
        <v>24975449.824712824</v>
      </c>
      <c r="P19" s="22">
        <f t="shared" si="10"/>
        <v>23206000</v>
      </c>
      <c r="Q19" s="10">
        <f t="shared" si="4"/>
        <v>0</v>
      </c>
      <c r="R19" s="13" t="s">
        <v>38</v>
      </c>
      <c r="S19" s="77">
        <f t="shared" si="5"/>
        <v>0</v>
      </c>
      <c r="T19" s="78">
        <f t="shared" si="6"/>
        <v>0</v>
      </c>
      <c r="U19" s="97">
        <f t="shared" si="1"/>
        <v>0</v>
      </c>
      <c r="V19" s="79">
        <f t="shared" si="2"/>
        <v>0</v>
      </c>
      <c r="W19" s="90"/>
    </row>
    <row r="20" spans="1:24" x14ac:dyDescent="0.35">
      <c r="B20" s="38" t="s">
        <v>65</v>
      </c>
      <c r="C20" s="12" t="s">
        <v>66</v>
      </c>
      <c r="D20" s="39">
        <v>24399999.999999993</v>
      </c>
      <c r="E20" s="40" t="s">
        <v>27</v>
      </c>
      <c r="F20" s="22">
        <v>24399999.999999993</v>
      </c>
      <c r="G20" s="35">
        <v>22700000</v>
      </c>
      <c r="H20" s="25">
        <v>0.97699999999999998</v>
      </c>
      <c r="I20" s="96">
        <v>0.97699999999999998</v>
      </c>
      <c r="J20" s="25">
        <v>0</v>
      </c>
      <c r="K20" s="31">
        <v>0</v>
      </c>
      <c r="L20" s="20">
        <v>0</v>
      </c>
      <c r="M20" s="26">
        <v>0</v>
      </c>
      <c r="N20" s="37">
        <v>0</v>
      </c>
      <c r="O20" s="22">
        <f t="shared" si="0"/>
        <v>24399999.999999993</v>
      </c>
      <c r="P20" s="22">
        <f t="shared" si="10"/>
        <v>22700000</v>
      </c>
      <c r="Q20" s="10">
        <f t="shared" si="4"/>
        <v>0</v>
      </c>
      <c r="S20" s="77">
        <f t="shared" si="5"/>
        <v>0</v>
      </c>
      <c r="T20" s="78">
        <f t="shared" si="6"/>
        <v>0</v>
      </c>
      <c r="U20" s="97">
        <f t="shared" si="1"/>
        <v>0</v>
      </c>
      <c r="V20" s="79">
        <f t="shared" si="2"/>
        <v>0</v>
      </c>
      <c r="W20" s="90"/>
    </row>
    <row r="21" spans="1:24" x14ac:dyDescent="0.35">
      <c r="B21" s="38" t="s">
        <v>67</v>
      </c>
      <c r="C21" s="12" t="s">
        <v>68</v>
      </c>
      <c r="D21" s="39">
        <v>24892041.440348215</v>
      </c>
      <c r="E21" s="40" t="s">
        <v>27</v>
      </c>
      <c r="F21" s="22">
        <v>24356050.6810247</v>
      </c>
      <c r="G21" s="35">
        <v>22884703.498567976</v>
      </c>
      <c r="H21" s="25">
        <v>0.97</v>
      </c>
      <c r="I21" s="115">
        <v>0.98</v>
      </c>
      <c r="J21" s="25">
        <v>0</v>
      </c>
      <c r="K21" s="31">
        <v>0</v>
      </c>
      <c r="L21" s="20">
        <v>0</v>
      </c>
      <c r="M21" s="26">
        <v>0</v>
      </c>
      <c r="N21" s="37">
        <v>2.1999999999999999E-2</v>
      </c>
      <c r="O21" s="22">
        <f t="shared" si="0"/>
        <v>25148501.154728971</v>
      </c>
      <c r="P21" s="22">
        <f t="shared" si="10"/>
        <v>23629282.098995611</v>
      </c>
      <c r="Q21" s="10">
        <f t="shared" si="4"/>
        <v>1.0302879938366694E-2</v>
      </c>
      <c r="R21" s="13" t="s">
        <v>38</v>
      </c>
      <c r="S21" s="77">
        <f t="shared" si="5"/>
        <v>256459.71438075602</v>
      </c>
      <c r="T21" s="78">
        <f t="shared" si="6"/>
        <v>1.0302879938366694E-2</v>
      </c>
      <c r="U21" s="97">
        <f t="shared" si="1"/>
        <v>792450.47370427102</v>
      </c>
      <c r="V21" s="79">
        <f t="shared" si="2"/>
        <v>3.2536082474226943E-2</v>
      </c>
      <c r="W21" s="90" t="s">
        <v>283</v>
      </c>
      <c r="X21" s="116" t="s">
        <v>317</v>
      </c>
    </row>
    <row r="22" spans="1:24" x14ac:dyDescent="0.35">
      <c r="B22" s="38" t="s">
        <v>67</v>
      </c>
      <c r="C22" s="12" t="s">
        <v>69</v>
      </c>
      <c r="D22" s="39">
        <v>25557877.187580194</v>
      </c>
      <c r="E22" s="40" t="s">
        <v>27</v>
      </c>
      <c r="F22" s="22">
        <v>25007549.243072458</v>
      </c>
      <c r="G22" s="35">
        <v>23496845.081678651</v>
      </c>
      <c r="H22" s="25">
        <v>0.97</v>
      </c>
      <c r="I22" s="115">
        <v>0.98</v>
      </c>
      <c r="J22" s="25">
        <v>0</v>
      </c>
      <c r="K22" s="31">
        <v>0</v>
      </c>
      <c r="L22" s="20">
        <v>0</v>
      </c>
      <c r="M22" s="26">
        <v>0</v>
      </c>
      <c r="N22" s="37">
        <v>2.1999999999999999E-2</v>
      </c>
      <c r="O22" s="22">
        <f t="shared" si="0"/>
        <v>25821196.927723352</v>
      </c>
      <c r="P22" s="22">
        <f t="shared" si="10"/>
        <v>24261340.371140279</v>
      </c>
      <c r="Q22" s="10">
        <f t="shared" si="4"/>
        <v>1.0302879938366608E-2</v>
      </c>
      <c r="R22" s="13" t="s">
        <v>38</v>
      </c>
      <c r="S22" s="77">
        <f t="shared" si="5"/>
        <v>263319.74014315754</v>
      </c>
      <c r="T22" s="78">
        <f t="shared" si="6"/>
        <v>1.0302879938366608E-2</v>
      </c>
      <c r="U22" s="97">
        <f t="shared" si="1"/>
        <v>813647.68465089425</v>
      </c>
      <c r="V22" s="79">
        <f t="shared" si="2"/>
        <v>3.2536082474226832E-2</v>
      </c>
      <c r="W22" s="90" t="s">
        <v>283</v>
      </c>
      <c r="X22" s="116" t="s">
        <v>317</v>
      </c>
    </row>
    <row r="23" spans="1:24" x14ac:dyDescent="0.35">
      <c r="B23" s="38" t="s">
        <v>67</v>
      </c>
      <c r="C23" s="12" t="s">
        <v>70</v>
      </c>
      <c r="D23" s="39">
        <v>12611196.67938761</v>
      </c>
      <c r="E23" s="40" t="s">
        <v>27</v>
      </c>
      <c r="F23" s="22">
        <v>12339644.629293136</v>
      </c>
      <c r="G23" s="35">
        <v>11594207.629033789</v>
      </c>
      <c r="H23" s="25">
        <v>0.97</v>
      </c>
      <c r="I23" s="115">
        <v>0.98</v>
      </c>
      <c r="J23" s="25">
        <v>0</v>
      </c>
      <c r="K23" s="31">
        <v>0</v>
      </c>
      <c r="L23" s="20">
        <v>0</v>
      </c>
      <c r="M23" s="26">
        <v>0</v>
      </c>
      <c r="N23" s="37">
        <v>2.1999999999999999E-2</v>
      </c>
      <c r="O23" s="22">
        <f t="shared" si="0"/>
        <v>12741128.324654467</v>
      </c>
      <c r="P23" s="22">
        <f t="shared" si="10"/>
        <v>11971437.724675342</v>
      </c>
      <c r="Q23" s="10">
        <f t="shared" si="4"/>
        <v>1.0302879938366514E-2</v>
      </c>
      <c r="R23" s="13" t="s">
        <v>38</v>
      </c>
      <c r="S23" s="77">
        <f t="shared" si="5"/>
        <v>129931.645266857</v>
      </c>
      <c r="T23" s="78">
        <f t="shared" si="6"/>
        <v>1.0302879938366514E-2</v>
      </c>
      <c r="U23" s="97">
        <f t="shared" si="1"/>
        <v>401483.69536133111</v>
      </c>
      <c r="V23" s="79">
        <f t="shared" si="2"/>
        <v>3.2536082474226784E-2</v>
      </c>
      <c r="W23" s="90" t="s">
        <v>283</v>
      </c>
      <c r="X23" s="116" t="s">
        <v>317</v>
      </c>
    </row>
    <row r="24" spans="1:24" x14ac:dyDescent="0.35">
      <c r="B24" s="38" t="s">
        <v>67</v>
      </c>
      <c r="C24" s="12" t="s">
        <v>71</v>
      </c>
      <c r="D24" s="39">
        <v>31678884.692683958</v>
      </c>
      <c r="E24" s="40" t="s">
        <v>27</v>
      </c>
      <c r="F24" s="22">
        <v>30996755.446609706</v>
      </c>
      <c r="G24" s="35">
        <v>29124243.790719584</v>
      </c>
      <c r="H24" s="25">
        <v>0.97</v>
      </c>
      <c r="I24" s="115">
        <v>0.98</v>
      </c>
      <c r="J24" s="25">
        <v>0</v>
      </c>
      <c r="K24" s="31">
        <v>0</v>
      </c>
      <c r="L24" s="20">
        <v>0</v>
      </c>
      <c r="M24" s="26">
        <v>0</v>
      </c>
      <c r="N24" s="37">
        <v>2.1999999999999999E-2</v>
      </c>
      <c r="O24" s="22">
        <f t="shared" si="0"/>
        <v>32005268.438254043</v>
      </c>
      <c r="P24" s="22">
        <f t="shared" si="10"/>
        <v>30071832.588693924</v>
      </c>
      <c r="Q24" s="10">
        <f t="shared" si="4"/>
        <v>1.0302879938366715E-2</v>
      </c>
      <c r="R24" s="13" t="s">
        <v>38</v>
      </c>
      <c r="S24" s="77">
        <f t="shared" si="5"/>
        <v>326383.74557008594</v>
      </c>
      <c r="T24" s="78">
        <f t="shared" si="6"/>
        <v>1.0302879938366715E-2</v>
      </c>
      <c r="U24" s="97">
        <f t="shared" si="1"/>
        <v>1008512.9916443378</v>
      </c>
      <c r="V24" s="79">
        <f t="shared" si="2"/>
        <v>3.2536082474226978E-2</v>
      </c>
      <c r="W24" s="90" t="s">
        <v>283</v>
      </c>
      <c r="X24" s="116" t="s">
        <v>317</v>
      </c>
    </row>
    <row r="25" spans="1:24" x14ac:dyDescent="0.35">
      <c r="B25" s="38" t="s">
        <v>72</v>
      </c>
      <c r="C25" s="12" t="s">
        <v>73</v>
      </c>
      <c r="D25" s="39">
        <v>19640000</v>
      </c>
      <c r="E25" s="40" t="s">
        <v>74</v>
      </c>
      <c r="F25" s="22">
        <v>19100000</v>
      </c>
      <c r="G25" s="35">
        <v>17700000</v>
      </c>
      <c r="H25" s="25">
        <v>0.98499999999999999</v>
      </c>
      <c r="I25" s="96">
        <v>0.98499999999999999</v>
      </c>
      <c r="J25" s="25">
        <v>0</v>
      </c>
      <c r="K25" s="31">
        <v>0</v>
      </c>
      <c r="L25" s="20">
        <v>2E-3</v>
      </c>
      <c r="M25" s="26">
        <v>2E-3</v>
      </c>
      <c r="N25" s="37">
        <v>2.8000000000000001E-2</v>
      </c>
      <c r="O25" s="22">
        <f t="shared" si="0"/>
        <v>19634800</v>
      </c>
      <c r="P25" s="22">
        <f t="shared" si="10"/>
        <v>18195600</v>
      </c>
      <c r="Q25" s="10">
        <f t="shared" si="4"/>
        <v>-2.6476578411405296E-4</v>
      </c>
      <c r="S25" s="77">
        <f t="shared" si="5"/>
        <v>-5200</v>
      </c>
      <c r="T25" s="78">
        <f t="shared" si="6"/>
        <v>-2.6476578411405296E-4</v>
      </c>
      <c r="U25" s="97">
        <f t="shared" si="1"/>
        <v>534800</v>
      </c>
      <c r="V25" s="79">
        <f t="shared" si="2"/>
        <v>2.8000000000000001E-2</v>
      </c>
      <c r="W25" s="90" t="s">
        <v>75</v>
      </c>
    </row>
    <row r="26" spans="1:24" ht="14.5" customHeight="1" x14ac:dyDescent="0.35">
      <c r="A26" t="s">
        <v>284</v>
      </c>
      <c r="B26" s="38" t="s">
        <v>76</v>
      </c>
      <c r="C26" s="12" t="s">
        <v>77</v>
      </c>
      <c r="D26" s="39">
        <v>37325471.950978808</v>
      </c>
      <c r="E26" s="40" t="s">
        <v>27</v>
      </c>
      <c r="F26" s="22">
        <v>36060700.245784096</v>
      </c>
      <c r="G26" s="35">
        <v>33472330.244455386</v>
      </c>
      <c r="H26" s="101">
        <v>0.92</v>
      </c>
      <c r="I26" s="98">
        <f>92%+2.25%</f>
        <v>0.9425</v>
      </c>
      <c r="J26" s="25">
        <v>1E-3</v>
      </c>
      <c r="K26" s="31">
        <v>1E-3</v>
      </c>
      <c r="L26" s="20">
        <v>1.2999999999999999E-2</v>
      </c>
      <c r="M26" s="45">
        <v>1.26E-2</v>
      </c>
      <c r="N26" s="37">
        <f>2.2%+1.2%</f>
        <v>3.4000000000000002E-2</v>
      </c>
      <c r="O26" s="99">
        <f t="shared" si="0"/>
        <v>38214149.326574512</v>
      </c>
      <c r="P26" s="22">
        <f t="shared" si="10"/>
        <v>35471208.755009621</v>
      </c>
      <c r="Q26" s="10">
        <f t="shared" si="4"/>
        <v>2.3808871774289767E-2</v>
      </c>
      <c r="R26" s="13" t="s">
        <v>78</v>
      </c>
      <c r="S26" s="77">
        <f t="shared" si="5"/>
        <v>888677.37559570372</v>
      </c>
      <c r="T26" s="78">
        <f t="shared" si="6"/>
        <v>2.3808871774289767E-2</v>
      </c>
      <c r="U26" s="97">
        <f t="shared" si="1"/>
        <v>2153449.0807904154</v>
      </c>
      <c r="V26" s="79">
        <f t="shared" si="2"/>
        <v>5.9717339544513644E-2</v>
      </c>
      <c r="W26" s="90" t="s">
        <v>79</v>
      </c>
      <c r="X26" s="102" t="s">
        <v>285</v>
      </c>
    </row>
    <row r="27" spans="1:24" ht="14.5" customHeight="1" x14ac:dyDescent="0.35">
      <c r="A27" t="s">
        <v>284</v>
      </c>
      <c r="B27" s="38" t="s">
        <v>76</v>
      </c>
      <c r="C27" s="12" t="s">
        <v>80</v>
      </c>
      <c r="D27" s="39">
        <v>9546004.4670611303</v>
      </c>
      <c r="E27" s="40" t="s">
        <v>27</v>
      </c>
      <c r="F27" s="22">
        <v>9222538.5946548041</v>
      </c>
      <c r="G27" s="35">
        <v>8560561.9255441818</v>
      </c>
      <c r="H27" s="101">
        <v>0.92</v>
      </c>
      <c r="I27" s="98">
        <f t="shared" ref="I27:I29" si="11">92%+2.25%</f>
        <v>0.9425</v>
      </c>
      <c r="J27" s="25">
        <v>1E-3</v>
      </c>
      <c r="K27" s="31">
        <v>1E-3</v>
      </c>
      <c r="L27" s="20">
        <v>1.2999999999999999E-2</v>
      </c>
      <c r="M27" s="45">
        <v>1.26E-2</v>
      </c>
      <c r="N27" s="37">
        <f>2.2%+1.2%</f>
        <v>3.4000000000000002E-2</v>
      </c>
      <c r="O27" s="99">
        <f t="shared" si="0"/>
        <v>9773284.0633741841</v>
      </c>
      <c r="P27" s="22">
        <f t="shared" si="10"/>
        <v>9071775.9087437391</v>
      </c>
      <c r="Q27" s="10">
        <f t="shared" si="4"/>
        <v>2.3808871774289555E-2</v>
      </c>
      <c r="R27" s="13" t="s">
        <v>78</v>
      </c>
      <c r="S27" s="77">
        <f t="shared" si="5"/>
        <v>227279.59631305374</v>
      </c>
      <c r="T27" s="78">
        <f t="shared" si="6"/>
        <v>2.3808871774289555E-2</v>
      </c>
      <c r="U27" s="97">
        <f t="shared" si="1"/>
        <v>550745.46871937998</v>
      </c>
      <c r="V27" s="79">
        <f t="shared" si="2"/>
        <v>5.9717339544513359E-2</v>
      </c>
      <c r="W27" s="90" t="s">
        <v>79</v>
      </c>
      <c r="X27" s="102" t="s">
        <v>285</v>
      </c>
    </row>
    <row r="28" spans="1:24" ht="14.5" customHeight="1" x14ac:dyDescent="0.35">
      <c r="A28" t="s">
        <v>284</v>
      </c>
      <c r="B28" s="38" t="s">
        <v>76</v>
      </c>
      <c r="C28" s="12" t="s">
        <v>81</v>
      </c>
      <c r="D28" s="39">
        <v>7593762.0936737293</v>
      </c>
      <c r="E28" s="40" t="s">
        <v>27</v>
      </c>
      <c r="F28" s="22">
        <v>7336447.8540929798</v>
      </c>
      <c r="G28" s="35">
        <v>6809851.2707649358</v>
      </c>
      <c r="H28" s="101">
        <v>0.92</v>
      </c>
      <c r="I28" s="98">
        <f t="shared" si="11"/>
        <v>0.9425</v>
      </c>
      <c r="J28" s="25">
        <v>1E-3</v>
      </c>
      <c r="K28" s="31">
        <v>1E-3</v>
      </c>
      <c r="L28" s="20">
        <v>1.2999999999999999E-2</v>
      </c>
      <c r="M28" s="45">
        <v>1.26E-2</v>
      </c>
      <c r="N28" s="37">
        <f>2.2%+1.2%</f>
        <v>3.4000000000000002E-2</v>
      </c>
      <c r="O28" s="99">
        <f t="shared" si="0"/>
        <v>7774561.0016464675</v>
      </c>
      <c r="P28" s="22">
        <f t="shared" si="10"/>
        <v>7216517.4713488426</v>
      </c>
      <c r="Q28" s="10">
        <f t="shared" si="4"/>
        <v>2.380887177428952E-2</v>
      </c>
      <c r="R28" s="13" t="s">
        <v>78</v>
      </c>
      <c r="S28" s="77">
        <f t="shared" si="5"/>
        <v>180798.90797273815</v>
      </c>
      <c r="T28" s="78">
        <f t="shared" si="6"/>
        <v>2.380887177428952E-2</v>
      </c>
      <c r="U28" s="97">
        <f t="shared" si="1"/>
        <v>438113.14755348768</v>
      </c>
      <c r="V28" s="79">
        <f t="shared" si="2"/>
        <v>5.971733954451347E-2</v>
      </c>
      <c r="W28" s="90" t="s">
        <v>79</v>
      </c>
      <c r="X28" s="102" t="s">
        <v>285</v>
      </c>
    </row>
    <row r="29" spans="1:24" ht="14.5" customHeight="1" x14ac:dyDescent="0.35">
      <c r="A29" t="s">
        <v>284</v>
      </c>
      <c r="B29" s="38" t="s">
        <v>82</v>
      </c>
      <c r="C29" s="12" t="s">
        <v>83</v>
      </c>
      <c r="D29" s="39">
        <v>8984761.4882863313</v>
      </c>
      <c r="E29" s="40" t="s">
        <v>27</v>
      </c>
      <c r="F29" s="22">
        <v>8680313.3054681178</v>
      </c>
      <c r="G29" s="35">
        <v>8057256.5592354964</v>
      </c>
      <c r="H29" s="101">
        <v>0.92</v>
      </c>
      <c r="I29" s="98">
        <f t="shared" si="11"/>
        <v>0.9425</v>
      </c>
      <c r="J29" s="25">
        <v>1E-3</v>
      </c>
      <c r="K29" s="31">
        <v>1E-3</v>
      </c>
      <c r="L29" s="20">
        <v>1.2999999999999999E-2</v>
      </c>
      <c r="M29" s="45">
        <v>1.26E-2</v>
      </c>
      <c r="N29" s="37">
        <f>2.2%+1.2%</f>
        <v>3.4000000000000002E-2</v>
      </c>
      <c r="O29" s="99">
        <f t="shared" si="0"/>
        <v>9198678.5224835165</v>
      </c>
      <c r="P29" s="22">
        <f t="shared" si="10"/>
        <v>8538414.4849806223</v>
      </c>
      <c r="Q29" s="10">
        <f t="shared" si="4"/>
        <v>2.3808871774289659E-2</v>
      </c>
      <c r="R29" s="13" t="s">
        <v>78</v>
      </c>
      <c r="S29" s="77">
        <f t="shared" si="5"/>
        <v>213917.03419718519</v>
      </c>
      <c r="T29" s="78">
        <f t="shared" si="6"/>
        <v>2.3808871774289659E-2</v>
      </c>
      <c r="U29" s="97">
        <f t="shared" si="1"/>
        <v>518365.21701539867</v>
      </c>
      <c r="V29" s="79">
        <f t="shared" si="2"/>
        <v>5.9717339544513588E-2</v>
      </c>
      <c r="W29" s="90" t="s">
        <v>79</v>
      </c>
      <c r="X29" s="102" t="s">
        <v>285</v>
      </c>
    </row>
    <row r="30" spans="1:24" x14ac:dyDescent="0.35">
      <c r="A30" t="s">
        <v>284</v>
      </c>
      <c r="B30" s="38" t="s">
        <v>84</v>
      </c>
      <c r="C30" s="12" t="s">
        <v>85</v>
      </c>
      <c r="D30" s="39">
        <v>26545626.702182051</v>
      </c>
      <c r="E30" s="40" t="s">
        <v>74</v>
      </c>
      <c r="F30" s="22">
        <v>26379838.438428525</v>
      </c>
      <c r="G30" s="35">
        <v>24331865.768532041</v>
      </c>
      <c r="H30" s="25">
        <v>0.97199999999999998</v>
      </c>
      <c r="I30" s="115">
        <v>0.97499999999999998</v>
      </c>
      <c r="J30" s="25">
        <v>3.0000000000000001E-3</v>
      </c>
      <c r="K30" s="31">
        <v>0.01</v>
      </c>
      <c r="L30" s="20">
        <v>0</v>
      </c>
      <c r="M30" s="26">
        <v>0</v>
      </c>
      <c r="N30" s="37">
        <f>0.5%+0.3%+0.3%</f>
        <v>1.0999999999999999E-2</v>
      </c>
      <c r="O30" s="22">
        <f t="shared" si="0"/>
        <v>26564501.71736687</v>
      </c>
      <c r="P30" s="22">
        <f t="shared" si="10"/>
        <v>24502192.896425262</v>
      </c>
      <c r="Q30" s="10">
        <f t="shared" si="4"/>
        <v>7.1104048122804994E-4</v>
      </c>
      <c r="R30" s="13" t="s">
        <v>38</v>
      </c>
      <c r="S30" s="77">
        <f t="shared" si="5"/>
        <v>18875.015184819698</v>
      </c>
      <c r="T30" s="78">
        <f t="shared" si="6"/>
        <v>7.1104048122804994E-4</v>
      </c>
      <c r="U30" s="97">
        <f t="shared" si="1"/>
        <v>184663.27893834561</v>
      </c>
      <c r="V30" s="79">
        <f t="shared" si="2"/>
        <v>7.0001671681711106E-3</v>
      </c>
      <c r="W30" s="90" t="s">
        <v>86</v>
      </c>
      <c r="X30" s="116" t="s">
        <v>318</v>
      </c>
    </row>
    <row r="31" spans="1:24" x14ac:dyDescent="0.35">
      <c r="A31" t="s">
        <v>284</v>
      </c>
      <c r="B31" s="38" t="s">
        <v>84</v>
      </c>
      <c r="C31" s="12" t="s">
        <v>87</v>
      </c>
      <c r="D31" s="39">
        <v>27894373.297817953</v>
      </c>
      <c r="E31" s="40" t="s">
        <v>74</v>
      </c>
      <c r="F31" s="22">
        <v>27720161.561571475</v>
      </c>
      <c r="G31" s="35">
        <v>25568134.231467959</v>
      </c>
      <c r="H31" s="25">
        <v>0.97199999999999998</v>
      </c>
      <c r="I31" s="115">
        <v>0.97499999999999998</v>
      </c>
      <c r="J31" s="25">
        <v>3.0000000000000001E-3</v>
      </c>
      <c r="K31" s="31">
        <v>0.01</v>
      </c>
      <c r="L31" s="20">
        <v>0</v>
      </c>
      <c r="M31" s="26">
        <v>0</v>
      </c>
      <c r="N31" s="37">
        <f>0.5%+0.3%+0.3%</f>
        <v>1.0999999999999999E-2</v>
      </c>
      <c r="O31" s="22">
        <f t="shared" si="0"/>
        <v>27914207.326431185</v>
      </c>
      <c r="P31" s="22">
        <f t="shared" si="10"/>
        <v>25747115.44526647</v>
      </c>
      <c r="Q31" s="10">
        <f t="shared" si="4"/>
        <v>7.1104048122793285E-4</v>
      </c>
      <c r="R31" s="13" t="s">
        <v>38</v>
      </c>
      <c r="S31" s="77">
        <f t="shared" si="5"/>
        <v>19834.028613232076</v>
      </c>
      <c r="T31" s="78">
        <f t="shared" si="6"/>
        <v>7.1104048122793285E-4</v>
      </c>
      <c r="U31" s="97">
        <f t="shared" si="1"/>
        <v>194045.76485970989</v>
      </c>
      <c r="V31" s="79">
        <f t="shared" si="2"/>
        <v>7.0001671681710542E-3</v>
      </c>
      <c r="W31" s="90" t="s">
        <v>86</v>
      </c>
      <c r="X31" s="116" t="s">
        <v>318</v>
      </c>
    </row>
    <row r="32" spans="1:24" x14ac:dyDescent="0.35">
      <c r="B32" s="38" t="s">
        <v>88</v>
      </c>
      <c r="C32" s="12" t="s">
        <v>89</v>
      </c>
      <c r="D32" s="39">
        <v>26769366.797189444</v>
      </c>
      <c r="E32" s="40" t="s">
        <v>90</v>
      </c>
      <c r="F32" s="22">
        <v>26687094.444374409</v>
      </c>
      <c r="G32" s="35">
        <v>24784546.285526905</v>
      </c>
      <c r="H32" s="25">
        <v>0.97199999999999998</v>
      </c>
      <c r="I32" s="115">
        <v>0.97499999999999998</v>
      </c>
      <c r="J32" s="25">
        <v>0</v>
      </c>
      <c r="K32" s="31">
        <v>0</v>
      </c>
      <c r="L32" s="20">
        <v>0</v>
      </c>
      <c r="M32" s="26">
        <v>0</v>
      </c>
      <c r="N32" s="37">
        <v>3.0000000000000001E-3</v>
      </c>
      <c r="O32" s="22">
        <f t="shared" si="0"/>
        <v>26849770.405879464</v>
      </c>
      <c r="P32" s="22">
        <f t="shared" si="10"/>
        <v>24935624.924150098</v>
      </c>
      <c r="Q32" s="10">
        <f t="shared" si="4"/>
        <v>3.0035678206053566E-3</v>
      </c>
      <c r="R32" s="13" t="s">
        <v>38</v>
      </c>
      <c r="S32" s="77">
        <f t="shared" si="5"/>
        <v>80403.608690019697</v>
      </c>
      <c r="T32" s="78">
        <f t="shared" si="6"/>
        <v>3.0035678206053566E-3</v>
      </c>
      <c r="U32" s="97">
        <f t="shared" si="1"/>
        <v>162675.96150505543</v>
      </c>
      <c r="V32" s="79">
        <f t="shared" si="2"/>
        <v>6.0956790123455054E-3</v>
      </c>
      <c r="W32" s="90" t="s">
        <v>91</v>
      </c>
      <c r="X32" s="116" t="s">
        <v>318</v>
      </c>
    </row>
    <row r="33" spans="1:24" x14ac:dyDescent="0.35">
      <c r="B33" s="38" t="s">
        <v>88</v>
      </c>
      <c r="C33" s="12" t="s">
        <v>92</v>
      </c>
      <c r="D33" s="39">
        <v>25290633.202810578</v>
      </c>
      <c r="E33" s="40" t="s">
        <v>90</v>
      </c>
      <c r="F33" s="22">
        <v>25212905.555625595</v>
      </c>
      <c r="G33" s="35">
        <v>23415453.714473095</v>
      </c>
      <c r="H33" s="25">
        <v>0.97199999999999998</v>
      </c>
      <c r="I33" s="115">
        <v>0.97499999999999998</v>
      </c>
      <c r="J33" s="25">
        <v>0</v>
      </c>
      <c r="K33" s="31">
        <v>0</v>
      </c>
      <c r="L33" s="20">
        <v>0</v>
      </c>
      <c r="M33" s="26">
        <v>0</v>
      </c>
      <c r="N33" s="37">
        <v>3.0000000000000001E-3</v>
      </c>
      <c r="O33" s="22">
        <f t="shared" si="0"/>
        <v>25366595.334861275</v>
      </c>
      <c r="P33" s="22">
        <f t="shared" si="10"/>
        <v>23558186.804244958</v>
      </c>
      <c r="Q33" s="10">
        <f t="shared" si="4"/>
        <v>3.0035678206054169E-3</v>
      </c>
      <c r="R33" s="13" t="s">
        <v>38</v>
      </c>
      <c r="S33" s="77">
        <f t="shared" si="5"/>
        <v>75962.13205069676</v>
      </c>
      <c r="T33" s="78">
        <f t="shared" si="6"/>
        <v>3.0035678206054169E-3</v>
      </c>
      <c r="U33" s="97">
        <f t="shared" si="1"/>
        <v>153689.77923567966</v>
      </c>
      <c r="V33" s="79">
        <f t="shared" si="2"/>
        <v>6.0956790123456372E-3</v>
      </c>
      <c r="W33" s="90" t="s">
        <v>91</v>
      </c>
      <c r="X33" s="116" t="s">
        <v>318</v>
      </c>
    </row>
    <row r="34" spans="1:24" x14ac:dyDescent="0.35">
      <c r="A34" t="s">
        <v>284</v>
      </c>
      <c r="B34" s="38" t="s">
        <v>93</v>
      </c>
      <c r="C34" s="12" t="s">
        <v>94</v>
      </c>
      <c r="D34" s="39">
        <v>33499999.999999993</v>
      </c>
      <c r="E34" s="40" t="s">
        <v>27</v>
      </c>
      <c r="F34" s="23">
        <v>33499999.999999993</v>
      </c>
      <c r="G34" s="70">
        <v>30700000</v>
      </c>
      <c r="H34" s="25">
        <v>0.98</v>
      </c>
      <c r="I34" s="96">
        <v>0.98</v>
      </c>
      <c r="J34" s="25">
        <v>1.6E-2</v>
      </c>
      <c r="K34" s="31">
        <v>1.6E-2</v>
      </c>
      <c r="L34" s="20">
        <v>5.0000000000000001E-3</v>
      </c>
      <c r="M34" s="32">
        <v>1.2E-2</v>
      </c>
      <c r="N34" s="37">
        <v>0</v>
      </c>
      <c r="O34" s="22">
        <f t="shared" si="0"/>
        <v>33264321.608040191</v>
      </c>
      <c r="P34" s="22">
        <f t="shared" si="10"/>
        <v>30484020.100502513</v>
      </c>
      <c r="Q34" s="10">
        <f t="shared" si="4"/>
        <v>-7.0351758793970555E-3</v>
      </c>
      <c r="S34" s="77">
        <f t="shared" si="5"/>
        <v>-235678.39195980132</v>
      </c>
      <c r="T34" s="78">
        <f t="shared" si="6"/>
        <v>-7.0351758793970555E-3</v>
      </c>
      <c r="U34" s="97">
        <f t="shared" si="1"/>
        <v>-235678.39195980132</v>
      </c>
      <c r="V34" s="79">
        <f t="shared" si="2"/>
        <v>-7.0351758793970555E-3</v>
      </c>
      <c r="W34" s="90" t="s">
        <v>95</v>
      </c>
    </row>
    <row r="35" spans="1:24" x14ac:dyDescent="0.35">
      <c r="B35" s="38" t="s">
        <v>96</v>
      </c>
      <c r="C35" s="12" t="s">
        <v>97</v>
      </c>
      <c r="D35" s="39">
        <v>9300000.0000000019</v>
      </c>
      <c r="E35" s="40" t="s">
        <v>27</v>
      </c>
      <c r="F35" s="23">
        <v>9300000.0000000019</v>
      </c>
      <c r="G35" s="70">
        <v>8700000</v>
      </c>
      <c r="H35" s="25">
        <v>0.97299999999999998</v>
      </c>
      <c r="I35" s="96">
        <v>0.97299999999999998</v>
      </c>
      <c r="J35" s="25">
        <v>0</v>
      </c>
      <c r="K35" s="31">
        <v>0</v>
      </c>
      <c r="L35" s="20">
        <v>0</v>
      </c>
      <c r="M35" s="26">
        <v>0</v>
      </c>
      <c r="N35" s="37">
        <v>0</v>
      </c>
      <c r="O35" s="22">
        <f t="shared" si="0"/>
        <v>9300000.0000000019</v>
      </c>
      <c r="P35" s="22">
        <f t="shared" si="10"/>
        <v>8700000</v>
      </c>
      <c r="Q35" s="10">
        <f t="shared" si="4"/>
        <v>0</v>
      </c>
      <c r="S35" s="77">
        <f t="shared" si="5"/>
        <v>0</v>
      </c>
      <c r="T35" s="78">
        <f t="shared" si="6"/>
        <v>0</v>
      </c>
      <c r="U35" s="97">
        <f t="shared" si="1"/>
        <v>0</v>
      </c>
      <c r="V35" s="79">
        <f t="shared" si="2"/>
        <v>0</v>
      </c>
      <c r="W35" s="90"/>
    </row>
    <row r="36" spans="1:24" x14ac:dyDescent="0.35">
      <c r="B36" s="38" t="s">
        <v>98</v>
      </c>
      <c r="C36" s="12" t="s">
        <v>99</v>
      </c>
      <c r="D36" s="39">
        <v>14200000.000000002</v>
      </c>
      <c r="E36" s="40" t="s">
        <v>27</v>
      </c>
      <c r="F36" s="23">
        <v>14200000.000000002</v>
      </c>
      <c r="G36" s="70">
        <v>13300000</v>
      </c>
      <c r="H36" s="25">
        <v>0.97699999999999998</v>
      </c>
      <c r="I36" s="96">
        <v>0.97699999999999998</v>
      </c>
      <c r="J36" s="25">
        <v>0</v>
      </c>
      <c r="K36" s="31">
        <v>0</v>
      </c>
      <c r="L36" s="20">
        <v>0</v>
      </c>
      <c r="M36" s="26">
        <v>0</v>
      </c>
      <c r="N36" s="37">
        <v>0</v>
      </c>
      <c r="O36" s="22">
        <f t="shared" si="0"/>
        <v>14200000.000000002</v>
      </c>
      <c r="P36" s="22">
        <f t="shared" si="10"/>
        <v>13300000</v>
      </c>
      <c r="Q36" s="10">
        <f t="shared" si="4"/>
        <v>0</v>
      </c>
      <c r="S36" s="77">
        <f t="shared" si="5"/>
        <v>0</v>
      </c>
      <c r="T36" s="78">
        <f t="shared" si="6"/>
        <v>0</v>
      </c>
      <c r="U36" s="97">
        <f t="shared" si="1"/>
        <v>0</v>
      </c>
      <c r="V36" s="79">
        <f t="shared" si="2"/>
        <v>0</v>
      </c>
      <c r="W36" s="90"/>
    </row>
    <row r="37" spans="1:24" x14ac:dyDescent="0.35">
      <c r="A37" t="s">
        <v>284</v>
      </c>
      <c r="B37" s="38" t="s">
        <v>100</v>
      </c>
      <c r="C37" s="12" t="s">
        <v>101</v>
      </c>
      <c r="D37" s="39">
        <v>20029999.999999996</v>
      </c>
      <c r="E37" s="40" t="s">
        <v>27</v>
      </c>
      <c r="F37" s="23">
        <v>20000000</v>
      </c>
      <c r="G37" s="70">
        <v>18700000</v>
      </c>
      <c r="H37" s="25">
        <v>0.97299999999999998</v>
      </c>
      <c r="I37" s="96">
        <v>0.97299999999999998</v>
      </c>
      <c r="J37" s="25">
        <v>0</v>
      </c>
      <c r="K37" s="31">
        <v>0</v>
      </c>
      <c r="L37" s="20">
        <v>0</v>
      </c>
      <c r="M37" s="26">
        <v>0</v>
      </c>
      <c r="N37" s="37">
        <v>0</v>
      </c>
      <c r="O37" s="22">
        <f t="shared" si="0"/>
        <v>20000000</v>
      </c>
      <c r="P37" s="22">
        <f t="shared" si="10"/>
        <v>18700000</v>
      </c>
      <c r="Q37" s="10">
        <f t="shared" si="4"/>
        <v>-1.4977533699448967E-3</v>
      </c>
      <c r="S37" s="77">
        <f t="shared" si="5"/>
        <v>-29999.999999996275</v>
      </c>
      <c r="T37" s="78">
        <f t="shared" si="6"/>
        <v>-1.4977533699448967E-3</v>
      </c>
      <c r="U37" s="97">
        <f t="shared" si="1"/>
        <v>0</v>
      </c>
      <c r="V37" s="79">
        <f t="shared" si="2"/>
        <v>0</v>
      </c>
      <c r="W37" s="90" t="s">
        <v>102</v>
      </c>
    </row>
    <row r="38" spans="1:24" x14ac:dyDescent="0.35">
      <c r="B38" s="38" t="s">
        <v>103</v>
      </c>
      <c r="C38" s="12" t="s">
        <v>104</v>
      </c>
      <c r="D38" s="39">
        <v>20767761.696157262</v>
      </c>
      <c r="E38" s="40" t="s">
        <v>27</v>
      </c>
      <c r="F38" s="23">
        <v>20767761.696157262</v>
      </c>
      <c r="G38" s="70">
        <v>19081039.934032809</v>
      </c>
      <c r="H38" s="101">
        <v>0.95499999999999996</v>
      </c>
      <c r="I38" s="115">
        <v>0.97</v>
      </c>
      <c r="J38" s="25">
        <v>1.2E-2</v>
      </c>
      <c r="K38" s="31">
        <v>1.2E-2</v>
      </c>
      <c r="L38" s="20">
        <v>0</v>
      </c>
      <c r="M38" s="26">
        <v>0</v>
      </c>
      <c r="N38" s="37">
        <v>0</v>
      </c>
      <c r="O38" s="99">
        <f t="shared" si="0"/>
        <v>21093956.90604455</v>
      </c>
      <c r="P38" s="22">
        <f t="shared" si="10"/>
        <v>19380742.131949555</v>
      </c>
      <c r="Q38" s="10">
        <f t="shared" si="4"/>
        <v>1.5706806282722596E-2</v>
      </c>
      <c r="S38" s="77">
        <f t="shared" si="5"/>
        <v>326195.20988728851</v>
      </c>
      <c r="T38" s="78">
        <f t="shared" si="6"/>
        <v>1.5706806282722596E-2</v>
      </c>
      <c r="U38" s="97">
        <f t="shared" si="1"/>
        <v>326195.20988728851</v>
      </c>
      <c r="V38" s="79">
        <f t="shared" si="2"/>
        <v>1.5706806282722596E-2</v>
      </c>
      <c r="W38" s="90"/>
      <c r="X38" s="116" t="s">
        <v>319</v>
      </c>
    </row>
    <row r="39" spans="1:24" x14ac:dyDescent="0.35">
      <c r="B39" s="38" t="s">
        <v>103</v>
      </c>
      <c r="C39" s="12" t="s">
        <v>105</v>
      </c>
      <c r="D39" s="39">
        <v>18632238.303842757</v>
      </c>
      <c r="E39" s="40" t="s">
        <v>27</v>
      </c>
      <c r="F39" s="23">
        <v>18632238.303842757</v>
      </c>
      <c r="G39" s="70">
        <v>17118960.065967195</v>
      </c>
      <c r="H39" s="101">
        <v>0.95499999999999996</v>
      </c>
      <c r="I39" s="115">
        <v>0.97</v>
      </c>
      <c r="J39" s="25">
        <v>1.2E-2</v>
      </c>
      <c r="K39" s="31">
        <v>1.2E-2</v>
      </c>
      <c r="L39" s="20">
        <v>0</v>
      </c>
      <c r="M39" s="26">
        <v>0</v>
      </c>
      <c r="N39" s="37">
        <v>0</v>
      </c>
      <c r="O39" s="99">
        <f t="shared" si="0"/>
        <v>18924891.261494737</v>
      </c>
      <c r="P39" s="22">
        <f t="shared" si="10"/>
        <v>17387844.255485006</v>
      </c>
      <c r="Q39" s="10">
        <f t="shared" si="4"/>
        <v>1.5706806282722498E-2</v>
      </c>
      <c r="S39" s="77">
        <f t="shared" si="5"/>
        <v>292652.95765198022</v>
      </c>
      <c r="T39" s="78">
        <f t="shared" si="6"/>
        <v>1.5706806282722498E-2</v>
      </c>
      <c r="U39" s="97">
        <f t="shared" si="1"/>
        <v>292652.95765198022</v>
      </c>
      <c r="V39" s="79">
        <f t="shared" si="2"/>
        <v>1.5706806282722498E-2</v>
      </c>
      <c r="W39" s="90"/>
      <c r="X39" s="116" t="s">
        <v>319</v>
      </c>
    </row>
    <row r="40" spans="1:24" x14ac:dyDescent="0.35">
      <c r="B40" s="38" t="s">
        <v>106</v>
      </c>
      <c r="C40" s="12" t="s">
        <v>107</v>
      </c>
      <c r="D40" s="39">
        <v>29366919.480970953</v>
      </c>
      <c r="E40" s="40" t="s">
        <v>27</v>
      </c>
      <c r="F40" s="23">
        <v>29366919.480970953</v>
      </c>
      <c r="G40" s="70">
        <v>27136007.089460727</v>
      </c>
      <c r="H40" s="101">
        <v>0.96799999999999997</v>
      </c>
      <c r="I40" s="98">
        <f>96.8%+0.2%</f>
        <v>0.97</v>
      </c>
      <c r="J40" s="25">
        <v>0</v>
      </c>
      <c r="K40" s="31">
        <v>0</v>
      </c>
      <c r="L40" s="20">
        <v>0</v>
      </c>
      <c r="M40" s="26">
        <v>0</v>
      </c>
      <c r="N40" s="37">
        <v>5.0000000000000001E-3</v>
      </c>
      <c r="O40" s="99">
        <f t="shared" si="0"/>
        <v>29574732.909116253</v>
      </c>
      <c r="P40" s="22">
        <f t="shared" si="10"/>
        <v>27328033.585909903</v>
      </c>
      <c r="Q40" s="10">
        <f t="shared" si="4"/>
        <v>7.0764462809917335E-3</v>
      </c>
      <c r="R40" s="13" t="s">
        <v>38</v>
      </c>
      <c r="S40" s="77">
        <f t="shared" si="5"/>
        <v>207813.4281453006</v>
      </c>
      <c r="T40" s="78">
        <f t="shared" si="6"/>
        <v>7.0764462809917335E-3</v>
      </c>
      <c r="U40" s="97">
        <f t="shared" si="1"/>
        <v>207813.4281453006</v>
      </c>
      <c r="V40" s="79">
        <f t="shared" si="2"/>
        <v>7.0764462809917335E-3</v>
      </c>
      <c r="W40" s="90" t="s">
        <v>286</v>
      </c>
      <c r="X40" s="102" t="s">
        <v>287</v>
      </c>
    </row>
    <row r="41" spans="1:24" x14ac:dyDescent="0.35">
      <c r="B41" s="38" t="s">
        <v>106</v>
      </c>
      <c r="C41" s="12" t="s">
        <v>108</v>
      </c>
      <c r="D41" s="39">
        <v>14557134.577151723</v>
      </c>
      <c r="E41" s="40" t="s">
        <v>27</v>
      </c>
      <c r="F41" s="23">
        <v>14557134.577151723</v>
      </c>
      <c r="G41" s="70">
        <v>13451274.906235501</v>
      </c>
      <c r="H41" s="101">
        <v>0.96799999999999997</v>
      </c>
      <c r="I41" s="98">
        <f>96.8%+0.2%</f>
        <v>0.97</v>
      </c>
      <c r="J41" s="25">
        <v>0</v>
      </c>
      <c r="K41" s="31">
        <v>0</v>
      </c>
      <c r="L41" s="20">
        <v>0</v>
      </c>
      <c r="M41" s="26">
        <v>0</v>
      </c>
      <c r="N41" s="37">
        <v>5.0000000000000001E-3</v>
      </c>
      <c r="O41" s="99">
        <f t="shared" si="0"/>
        <v>14660147.357992103</v>
      </c>
      <c r="P41" s="22">
        <f t="shared" si="10"/>
        <v>13546462.130520327</v>
      </c>
      <c r="Q41" s="10">
        <f t="shared" si="4"/>
        <v>7.0764462809916398E-3</v>
      </c>
      <c r="R41" s="13" t="s">
        <v>38</v>
      </c>
      <c r="S41" s="77">
        <f t="shared" si="5"/>
        <v>103012.78084038012</v>
      </c>
      <c r="T41" s="78">
        <f t="shared" si="6"/>
        <v>7.0764462809916398E-3</v>
      </c>
      <c r="U41" s="97">
        <f t="shared" si="1"/>
        <v>103012.78084038012</v>
      </c>
      <c r="V41" s="79">
        <f t="shared" si="2"/>
        <v>7.0764462809916398E-3</v>
      </c>
      <c r="W41" s="90" t="s">
        <v>286</v>
      </c>
      <c r="X41" s="102" t="s">
        <v>287</v>
      </c>
    </row>
    <row r="42" spans="1:24" x14ac:dyDescent="0.35">
      <c r="B42" s="38" t="s">
        <v>106</v>
      </c>
      <c r="C42" s="12" t="s">
        <v>109</v>
      </c>
      <c r="D42" s="39">
        <v>28475945.941877313</v>
      </c>
      <c r="E42" s="40" t="s">
        <v>27</v>
      </c>
      <c r="F42" s="23">
        <v>28475945.941877313</v>
      </c>
      <c r="G42" s="70">
        <v>26312718.004303757</v>
      </c>
      <c r="H42" s="101">
        <v>0.96799999999999997</v>
      </c>
      <c r="I42" s="98">
        <f>96.8%+0.2%</f>
        <v>0.97</v>
      </c>
      <c r="J42" s="25">
        <v>0</v>
      </c>
      <c r="K42" s="31">
        <v>0</v>
      </c>
      <c r="L42" s="20">
        <v>0</v>
      </c>
      <c r="M42" s="26">
        <v>0</v>
      </c>
      <c r="N42" s="37">
        <v>5.0000000000000001E-3</v>
      </c>
      <c r="O42" s="99">
        <f t="shared" si="0"/>
        <v>28677454.44363543</v>
      </c>
      <c r="P42" s="22">
        <f t="shared" si="10"/>
        <v>26498918.539768092</v>
      </c>
      <c r="Q42" s="10">
        <f t="shared" si="4"/>
        <v>7.0764462809916589E-3</v>
      </c>
      <c r="R42" s="13" t="s">
        <v>38</v>
      </c>
      <c r="S42" s="77">
        <f t="shared" si="5"/>
        <v>201508.50175811723</v>
      </c>
      <c r="T42" s="78">
        <f t="shared" si="6"/>
        <v>7.0764462809916589E-3</v>
      </c>
      <c r="U42" s="97">
        <f t="shared" si="1"/>
        <v>201508.50175811723</v>
      </c>
      <c r="V42" s="79">
        <f t="shared" si="2"/>
        <v>7.0764462809916589E-3</v>
      </c>
      <c r="W42" s="90" t="s">
        <v>286</v>
      </c>
      <c r="X42" s="102" t="s">
        <v>287</v>
      </c>
    </row>
    <row r="43" spans="1:24" ht="14.15" customHeight="1" x14ac:dyDescent="0.35">
      <c r="A43" t="s">
        <v>284</v>
      </c>
      <c r="B43" s="38" t="s">
        <v>110</v>
      </c>
      <c r="C43" s="12" t="s">
        <v>111</v>
      </c>
      <c r="D43" s="39">
        <v>16019999.999999991</v>
      </c>
      <c r="E43" s="40" t="s">
        <v>112</v>
      </c>
      <c r="F43" s="22">
        <f>15913155*0.959854707</f>
        <v>15274316.729970584</v>
      </c>
      <c r="G43" s="35">
        <f>14261280*0.959854707</f>
        <v>13688756.73584496</v>
      </c>
      <c r="H43" s="101">
        <v>0.89</v>
      </c>
      <c r="I43" s="98">
        <f>89%+1.3%</f>
        <v>0.90300000000000002</v>
      </c>
      <c r="J43" s="25">
        <v>1.2E-2</v>
      </c>
      <c r="K43" s="31">
        <v>1.2E-2</v>
      </c>
      <c r="L43" s="20">
        <v>0</v>
      </c>
      <c r="M43" s="26">
        <v>0</v>
      </c>
      <c r="N43" s="37">
        <v>0</v>
      </c>
      <c r="O43" s="99">
        <f t="shared" si="0"/>
        <v>15497424.72714993</v>
      </c>
      <c r="P43" s="22">
        <f t="shared" si="10"/>
        <v>13888704.867941573</v>
      </c>
      <c r="Q43" s="10">
        <f t="shared" si="4"/>
        <v>-3.2620179328967609E-2</v>
      </c>
      <c r="R43" s="13" t="s">
        <v>113</v>
      </c>
      <c r="S43" s="77">
        <f t="shared" si="5"/>
        <v>-522575.27285006084</v>
      </c>
      <c r="T43" s="78">
        <f t="shared" si="6"/>
        <v>-3.2620179328967609E-2</v>
      </c>
      <c r="U43" s="97">
        <f>O43-F43</f>
        <v>223107.99717934616</v>
      </c>
      <c r="V43" s="79">
        <f t="shared" si="2"/>
        <v>1.4606741573033745E-2</v>
      </c>
      <c r="W43" s="103" t="s">
        <v>288</v>
      </c>
      <c r="X43" s="102" t="s">
        <v>289</v>
      </c>
    </row>
    <row r="44" spans="1:24" x14ac:dyDescent="0.35">
      <c r="B44" s="38" t="s">
        <v>114</v>
      </c>
      <c r="C44" s="12" t="s">
        <v>115</v>
      </c>
      <c r="D44" s="39">
        <v>21189548.733099911</v>
      </c>
      <c r="E44" s="40" t="s">
        <v>27</v>
      </c>
      <c r="F44" s="23">
        <v>21189548.733099911</v>
      </c>
      <c r="G44" s="70">
        <v>19552957.570787318</v>
      </c>
      <c r="H44" s="25">
        <v>0.97199999999999998</v>
      </c>
      <c r="I44" s="96">
        <v>0.97199999999999998</v>
      </c>
      <c r="J44" s="25">
        <v>0</v>
      </c>
      <c r="K44" s="31">
        <v>0</v>
      </c>
      <c r="L44" s="20">
        <v>0</v>
      </c>
      <c r="M44" s="26">
        <v>0</v>
      </c>
      <c r="N44" s="37">
        <v>5.0000000000000001E-3</v>
      </c>
      <c r="O44" s="22">
        <f t="shared" si="0"/>
        <v>21295496.476765409</v>
      </c>
      <c r="P44" s="22">
        <f t="shared" si="10"/>
        <v>19650722.358641252</v>
      </c>
      <c r="Q44" s="10">
        <f t="shared" si="4"/>
        <v>4.9999999999999151E-3</v>
      </c>
      <c r="R44" s="13" t="s">
        <v>38</v>
      </c>
      <c r="S44" s="77">
        <f t="shared" si="5"/>
        <v>105947.74366549775</v>
      </c>
      <c r="T44" s="78">
        <f t="shared" si="6"/>
        <v>4.9999999999999151E-3</v>
      </c>
      <c r="U44" s="97">
        <f t="shared" si="1"/>
        <v>105947.74366549775</v>
      </c>
      <c r="V44" s="79">
        <f t="shared" si="2"/>
        <v>4.9999999999999151E-3</v>
      </c>
      <c r="W44" s="90" t="s">
        <v>286</v>
      </c>
    </row>
    <row r="45" spans="1:24" x14ac:dyDescent="0.35">
      <c r="B45" s="38" t="s">
        <v>114</v>
      </c>
      <c r="C45" s="12" t="s">
        <v>116</v>
      </c>
      <c r="D45" s="39">
        <v>6679870.2800412001</v>
      </c>
      <c r="E45" s="40" t="s">
        <v>27</v>
      </c>
      <c r="F45" s="23">
        <v>6679870.2800412001</v>
      </c>
      <c r="G45" s="70">
        <v>6163945.3397128144</v>
      </c>
      <c r="H45" s="25">
        <v>0.97199999999999998</v>
      </c>
      <c r="I45" s="96">
        <v>0.97199999999999998</v>
      </c>
      <c r="J45" s="25">
        <v>0</v>
      </c>
      <c r="K45" s="31">
        <v>0</v>
      </c>
      <c r="L45" s="20">
        <v>0</v>
      </c>
      <c r="M45" s="26">
        <v>0</v>
      </c>
      <c r="N45" s="37">
        <v>5.0000000000000001E-3</v>
      </c>
      <c r="O45" s="22">
        <f t="shared" si="0"/>
        <v>6713269.631441405</v>
      </c>
      <c r="P45" s="22">
        <f t="shared" si="10"/>
        <v>6194765.0664113779</v>
      </c>
      <c r="Q45" s="10">
        <f t="shared" si="4"/>
        <v>4.9999999999998405E-3</v>
      </c>
      <c r="R45" s="13" t="s">
        <v>38</v>
      </c>
      <c r="S45" s="77">
        <f t="shared" si="5"/>
        <v>33399.351400204934</v>
      </c>
      <c r="T45" s="78">
        <f t="shared" si="6"/>
        <v>4.9999999999998405E-3</v>
      </c>
      <c r="U45" s="97">
        <f t="shared" si="1"/>
        <v>33399.351400204934</v>
      </c>
      <c r="V45" s="79">
        <f t="shared" si="2"/>
        <v>4.9999999999998405E-3</v>
      </c>
      <c r="W45" s="90" t="s">
        <v>286</v>
      </c>
    </row>
    <row r="46" spans="1:24" x14ac:dyDescent="0.35">
      <c r="B46" s="38" t="s">
        <v>114</v>
      </c>
      <c r="C46" s="12" t="s">
        <v>117</v>
      </c>
      <c r="D46" s="39">
        <v>21330580.986858886</v>
      </c>
      <c r="E46" s="40" t="s">
        <v>27</v>
      </c>
      <c r="F46" s="23">
        <v>21330580.986858886</v>
      </c>
      <c r="G46" s="70">
        <v>19683097.089499865</v>
      </c>
      <c r="H46" s="25">
        <v>0.97199999999999998</v>
      </c>
      <c r="I46" s="96">
        <v>0.97199999999999998</v>
      </c>
      <c r="J46" s="25">
        <v>0</v>
      </c>
      <c r="K46" s="31">
        <v>0</v>
      </c>
      <c r="L46" s="20">
        <v>0</v>
      </c>
      <c r="M46" s="26">
        <v>0</v>
      </c>
      <c r="N46" s="37">
        <v>5.0000000000000001E-3</v>
      </c>
      <c r="O46" s="22">
        <f t="shared" si="0"/>
        <v>21437233.891793177</v>
      </c>
      <c r="P46" s="22">
        <f t="shared" si="10"/>
        <v>19781512.574947361</v>
      </c>
      <c r="Q46" s="10">
        <f t="shared" si="4"/>
        <v>4.9999999999998301E-3</v>
      </c>
      <c r="R46" s="13" t="s">
        <v>38</v>
      </c>
      <c r="S46" s="77">
        <f t="shared" si="5"/>
        <v>106652.9049342908</v>
      </c>
      <c r="T46" s="78">
        <f t="shared" si="6"/>
        <v>4.9999999999998301E-3</v>
      </c>
      <c r="U46" s="97">
        <f t="shared" si="1"/>
        <v>106652.9049342908</v>
      </c>
      <c r="V46" s="79">
        <f t="shared" si="2"/>
        <v>4.9999999999998301E-3</v>
      </c>
      <c r="W46" s="90" t="s">
        <v>286</v>
      </c>
    </row>
    <row r="47" spans="1:24" x14ac:dyDescent="0.35">
      <c r="B47" s="38" t="s">
        <v>118</v>
      </c>
      <c r="C47" s="12" t="s">
        <v>119</v>
      </c>
      <c r="D47" s="39">
        <v>23440000.000000004</v>
      </c>
      <c r="E47" s="40" t="s">
        <v>27</v>
      </c>
      <c r="F47" s="22">
        <v>23300000</v>
      </c>
      <c r="G47" s="35">
        <v>21700000</v>
      </c>
      <c r="H47" s="25">
        <v>0.98299999999999998</v>
      </c>
      <c r="I47" s="96">
        <v>0.98299999999999998</v>
      </c>
      <c r="J47" s="25">
        <v>0</v>
      </c>
      <c r="K47" s="31">
        <v>0</v>
      </c>
      <c r="L47" s="20">
        <v>0</v>
      </c>
      <c r="M47" s="26">
        <v>0</v>
      </c>
      <c r="N47" s="37">
        <v>6.0000000000000001E-3</v>
      </c>
      <c r="O47" s="22">
        <f t="shared" si="0"/>
        <v>23439800</v>
      </c>
      <c r="P47" s="22">
        <f t="shared" si="10"/>
        <v>21830200</v>
      </c>
      <c r="Q47" s="10">
        <f t="shared" si="4"/>
        <v>-8.5324232083500535E-6</v>
      </c>
      <c r="S47" s="77">
        <f t="shared" si="5"/>
        <v>-200.00000000372529</v>
      </c>
      <c r="T47" s="78">
        <f t="shared" si="6"/>
        <v>-8.5324232083500535E-6</v>
      </c>
      <c r="U47" s="97">
        <f t="shared" si="1"/>
        <v>139800</v>
      </c>
      <c r="V47" s="79">
        <f t="shared" si="2"/>
        <v>6.0000000000000001E-3</v>
      </c>
      <c r="W47" s="90" t="s">
        <v>120</v>
      </c>
    </row>
    <row r="48" spans="1:24" x14ac:dyDescent="0.35">
      <c r="B48" s="38" t="s">
        <v>121</v>
      </c>
      <c r="C48" s="12" t="s">
        <v>122</v>
      </c>
      <c r="D48" s="39">
        <v>26754571.913584143</v>
      </c>
      <c r="E48" s="40" t="s">
        <v>27</v>
      </c>
      <c r="F48" s="23">
        <v>26754571.913584143</v>
      </c>
      <c r="G48" s="70">
        <v>24623985.899578098</v>
      </c>
      <c r="H48" s="25">
        <v>0.96699999999999997</v>
      </c>
      <c r="I48" s="96">
        <v>0.96699999999999997</v>
      </c>
      <c r="J48" s="25">
        <v>8.9999999999999993E-3</v>
      </c>
      <c r="K48" s="33">
        <v>2.3E-2</v>
      </c>
      <c r="L48" s="20">
        <v>3.7999999999999999E-2</v>
      </c>
      <c r="M48" s="32">
        <v>2.4E-2</v>
      </c>
      <c r="N48" s="37">
        <f>0.5%</f>
        <v>5.0000000000000001E-3</v>
      </c>
      <c r="O48" s="22">
        <f t="shared" si="0"/>
        <v>26894267.676372904</v>
      </c>
      <c r="P48" s="22">
        <f t="shared" si="10"/>
        <v>24752557.065069057</v>
      </c>
      <c r="Q48" s="10">
        <f t="shared" si="4"/>
        <v>5.2213791063438191E-3</v>
      </c>
      <c r="R48" s="13" t="s">
        <v>38</v>
      </c>
      <c r="S48" s="77">
        <f t="shared" si="5"/>
        <v>139695.76278876141</v>
      </c>
      <c r="T48" s="78">
        <f t="shared" si="6"/>
        <v>5.2213791063438191E-3</v>
      </c>
      <c r="U48" s="97">
        <f t="shared" si="1"/>
        <v>139695.76278876141</v>
      </c>
      <c r="V48" s="79">
        <f t="shared" si="2"/>
        <v>5.2213791063438191E-3</v>
      </c>
      <c r="W48" s="90" t="s">
        <v>290</v>
      </c>
    </row>
    <row r="49" spans="1:24" x14ac:dyDescent="0.35">
      <c r="B49" s="38" t="s">
        <v>121</v>
      </c>
      <c r="C49" s="12" t="s">
        <v>123</v>
      </c>
      <c r="D49" s="39">
        <v>25211992.713947937</v>
      </c>
      <c r="E49" s="40" t="s">
        <v>27</v>
      </c>
      <c r="F49" s="23">
        <v>25211992.713947937</v>
      </c>
      <c r="G49" s="70">
        <v>23204249.168842427</v>
      </c>
      <c r="H49" s="25">
        <v>0.96699999999999997</v>
      </c>
      <c r="I49" s="96">
        <v>0.96699999999999997</v>
      </c>
      <c r="J49" s="25">
        <v>8.9999999999999993E-3</v>
      </c>
      <c r="K49" s="33">
        <v>2.3E-2</v>
      </c>
      <c r="L49" s="20">
        <v>3.7999999999999999E-2</v>
      </c>
      <c r="M49" s="32">
        <v>2.4E-2</v>
      </c>
      <c r="N49" s="37">
        <v>5.0000000000000001E-3</v>
      </c>
      <c r="O49" s="22">
        <f t="shared" si="0"/>
        <v>25343634.085933834</v>
      </c>
      <c r="P49" s="22">
        <f t="shared" si="10"/>
        <v>23325407.350631014</v>
      </c>
      <c r="Q49" s="10">
        <f t="shared" si="4"/>
        <v>5.2213791063437029E-3</v>
      </c>
      <c r="R49" s="13" t="s">
        <v>38</v>
      </c>
      <c r="S49" s="77">
        <f t="shared" si="5"/>
        <v>131641.37198589742</v>
      </c>
      <c r="T49" s="78">
        <f t="shared" si="6"/>
        <v>5.2213791063437029E-3</v>
      </c>
      <c r="U49" s="97">
        <f t="shared" si="1"/>
        <v>131641.37198589742</v>
      </c>
      <c r="V49" s="79">
        <f t="shared" si="2"/>
        <v>5.2213791063437029E-3</v>
      </c>
      <c r="W49" s="90" t="s">
        <v>290</v>
      </c>
    </row>
    <row r="50" spans="1:24" x14ac:dyDescent="0.35">
      <c r="B50" s="38" t="s">
        <v>121</v>
      </c>
      <c r="C50" s="12" t="s">
        <v>124</v>
      </c>
      <c r="D50" s="39">
        <v>24633435.372467902</v>
      </c>
      <c r="E50" s="40" t="s">
        <v>27</v>
      </c>
      <c r="F50" s="23">
        <v>24633435.372467902</v>
      </c>
      <c r="G50" s="70">
        <v>22671764.931579471</v>
      </c>
      <c r="H50" s="25">
        <v>0.96699999999999997</v>
      </c>
      <c r="I50" s="96">
        <v>0.96699999999999997</v>
      </c>
      <c r="J50" s="25">
        <v>8.9999999999999993E-3</v>
      </c>
      <c r="K50" s="33">
        <v>2.3E-2</v>
      </c>
      <c r="L50" s="20">
        <v>3.7999999999999999E-2</v>
      </c>
      <c r="M50" s="32">
        <v>2.4E-2</v>
      </c>
      <c r="N50" s="37">
        <v>5.0000000000000001E-3</v>
      </c>
      <c r="O50" s="22">
        <f t="shared" si="0"/>
        <v>24762055.877239175</v>
      </c>
      <c r="P50" s="22">
        <f t="shared" si="10"/>
        <v>22790142.81129716</v>
      </c>
      <c r="Q50" s="10">
        <f t="shared" si="4"/>
        <v>5.2213791063437749E-3</v>
      </c>
      <c r="R50" s="13" t="s">
        <v>38</v>
      </c>
      <c r="S50" s="77">
        <f t="shared" si="5"/>
        <v>128620.50477127358</v>
      </c>
      <c r="T50" s="78">
        <f t="shared" si="6"/>
        <v>5.2213791063437749E-3</v>
      </c>
      <c r="U50" s="97">
        <f t="shared" si="1"/>
        <v>128620.50477127358</v>
      </c>
      <c r="V50" s="79">
        <f t="shared" si="2"/>
        <v>5.2213791063437749E-3</v>
      </c>
      <c r="W50" s="90" t="s">
        <v>290</v>
      </c>
    </row>
    <row r="51" spans="1:24" x14ac:dyDescent="0.35">
      <c r="B51" s="38" t="s">
        <v>125</v>
      </c>
      <c r="C51" s="100" t="s">
        <v>126</v>
      </c>
      <c r="D51" s="39">
        <v>27245228.794821735</v>
      </c>
      <c r="E51" s="40" t="s">
        <v>27</v>
      </c>
      <c r="F51" s="23">
        <v>27242311.320820838</v>
      </c>
      <c r="G51" s="70">
        <v>25130060.144165099</v>
      </c>
      <c r="H51" s="101">
        <v>0.88</v>
      </c>
      <c r="I51" s="98">
        <f>88%+2%</f>
        <v>0.9</v>
      </c>
      <c r="J51" s="25">
        <v>3.1E-2</v>
      </c>
      <c r="K51" s="31">
        <v>3.1E-2</v>
      </c>
      <c r="L51" s="31">
        <v>0</v>
      </c>
      <c r="M51" s="26">
        <v>0</v>
      </c>
      <c r="N51" s="37">
        <f>0.5%+0.5%</f>
        <v>0.01</v>
      </c>
      <c r="O51" s="99">
        <f t="shared" si="0"/>
        <v>28140069.307529707</v>
      </c>
      <c r="P51" s="22">
        <f t="shared" si="10"/>
        <v>25958209.853461452</v>
      </c>
      <c r="Q51" s="10">
        <f t="shared" si="4"/>
        <v>3.2843934600323331E-2</v>
      </c>
      <c r="R51" s="13" t="s">
        <v>38</v>
      </c>
      <c r="S51" s="77">
        <f t="shared" si="5"/>
        <v>894840.51270797104</v>
      </c>
      <c r="T51" s="78">
        <f t="shared" si="6"/>
        <v>3.2843934600323331E-2</v>
      </c>
      <c r="U51" s="97">
        <f t="shared" si="1"/>
        <v>897757.98670886829</v>
      </c>
      <c r="V51" s="79">
        <f t="shared" si="2"/>
        <v>3.2954545454545445E-2</v>
      </c>
      <c r="W51" s="90" t="s">
        <v>291</v>
      </c>
      <c r="X51" s="102" t="s">
        <v>292</v>
      </c>
    </row>
    <row r="52" spans="1:24" x14ac:dyDescent="0.35">
      <c r="B52" s="38" t="s">
        <v>125</v>
      </c>
      <c r="C52" s="100" t="s">
        <v>127</v>
      </c>
      <c r="D52" s="39">
        <v>13844771.205178259</v>
      </c>
      <c r="E52" s="40" t="s">
        <v>27</v>
      </c>
      <c r="F52" s="23">
        <v>13843288.679179167</v>
      </c>
      <c r="G52" s="70">
        <v>12769939.855834899</v>
      </c>
      <c r="H52" s="101">
        <v>0.88</v>
      </c>
      <c r="I52" s="98">
        <f>88%+2%</f>
        <v>0.9</v>
      </c>
      <c r="J52" s="25">
        <v>3.1E-2</v>
      </c>
      <c r="K52" s="31">
        <v>3.1E-2</v>
      </c>
      <c r="L52" s="31">
        <v>0</v>
      </c>
      <c r="M52" s="26">
        <v>0</v>
      </c>
      <c r="N52" s="37">
        <f>0.5%+0.5%</f>
        <v>0.01</v>
      </c>
      <c r="O52" s="99">
        <f t="shared" si="0"/>
        <v>14299487.965197572</v>
      </c>
      <c r="P52" s="22">
        <f t="shared" si="10"/>
        <v>13190767.419265823</v>
      </c>
      <c r="Q52" s="10">
        <f t="shared" si="4"/>
        <v>3.2843934600323269E-2</v>
      </c>
      <c r="R52" s="13" t="s">
        <v>38</v>
      </c>
      <c r="S52" s="77">
        <f t="shared" si="5"/>
        <v>454716.76001931354</v>
      </c>
      <c r="T52" s="78">
        <f t="shared" si="6"/>
        <v>3.2843934600323269E-2</v>
      </c>
      <c r="U52" s="97">
        <f t="shared" si="1"/>
        <v>456199.28601840511</v>
      </c>
      <c r="V52" s="79">
        <f t="shared" si="2"/>
        <v>3.2954545454545507E-2</v>
      </c>
      <c r="W52" s="90" t="s">
        <v>291</v>
      </c>
      <c r="X52" s="102" t="s">
        <v>292</v>
      </c>
    </row>
    <row r="53" spans="1:24" x14ac:dyDescent="0.35">
      <c r="A53" t="s">
        <v>284</v>
      </c>
      <c r="B53" s="38" t="s">
        <v>128</v>
      </c>
      <c r="C53" s="12" t="s">
        <v>129</v>
      </c>
      <c r="D53" s="39">
        <v>18630000.000000004</v>
      </c>
      <c r="E53" s="40" t="s">
        <v>27</v>
      </c>
      <c r="F53" s="22">
        <v>18419500</v>
      </c>
      <c r="G53" s="35">
        <v>17000000</v>
      </c>
      <c r="H53" s="25">
        <v>0.97</v>
      </c>
      <c r="I53" s="96">
        <v>0.97</v>
      </c>
      <c r="J53" s="25">
        <v>0</v>
      </c>
      <c r="K53" s="31">
        <v>0</v>
      </c>
      <c r="L53" s="20">
        <v>1.4999999999999999E-2</v>
      </c>
      <c r="M53" s="65">
        <v>2.6800000000000001E-2</v>
      </c>
      <c r="N53" s="37">
        <v>6.0000000000000001E-3</v>
      </c>
      <c r="O53" s="22">
        <f t="shared" si="0"/>
        <v>18308033.039999999</v>
      </c>
      <c r="P53" s="22">
        <f t="shared" si="10"/>
        <v>16897123.248730961</v>
      </c>
      <c r="Q53" s="10">
        <f t="shared" si="4"/>
        <v>-1.7282177133655638E-2</v>
      </c>
      <c r="S53" s="77">
        <f t="shared" si="5"/>
        <v>-321966.96000000462</v>
      </c>
      <c r="T53" s="78">
        <f t="shared" si="6"/>
        <v>-1.7282177133655638E-2</v>
      </c>
      <c r="U53" s="97">
        <f t="shared" si="1"/>
        <v>-111466.96000000089</v>
      </c>
      <c r="V53" s="79">
        <f t="shared" si="2"/>
        <v>-6.051573604060962E-3</v>
      </c>
      <c r="W53" s="90" t="s">
        <v>130</v>
      </c>
    </row>
    <row r="54" spans="1:24" s="1" customFormat="1" x14ac:dyDescent="0.35">
      <c r="A54" t="s">
        <v>284</v>
      </c>
      <c r="B54" s="38" t="s">
        <v>131</v>
      </c>
      <c r="C54" s="12" t="s">
        <v>132</v>
      </c>
      <c r="D54" s="39">
        <v>25449999.999999993</v>
      </c>
      <c r="E54" s="40" t="s">
        <v>27</v>
      </c>
      <c r="F54" s="22">
        <v>25300000</v>
      </c>
      <c r="G54" s="35">
        <v>23400000</v>
      </c>
      <c r="H54" s="25">
        <v>0.97499999999999998</v>
      </c>
      <c r="I54" s="96">
        <v>0.97499999999999998</v>
      </c>
      <c r="J54" s="25">
        <v>0</v>
      </c>
      <c r="K54" s="31">
        <v>0</v>
      </c>
      <c r="L54" s="65">
        <v>2.5000000000000001E-3</v>
      </c>
      <c r="M54" s="65">
        <v>3.5000000000000003E-2</v>
      </c>
      <c r="N54" s="37">
        <v>6.0000000000000001E-3</v>
      </c>
      <c r="O54" s="22">
        <f t="shared" si="0"/>
        <v>24622543.358395986</v>
      </c>
      <c r="P54" s="22">
        <f t="shared" si="10"/>
        <v>22773419.548872177</v>
      </c>
      <c r="Q54" s="10">
        <f t="shared" si="4"/>
        <v>-3.2513031104283163E-2</v>
      </c>
      <c r="R54" s="13"/>
      <c r="S54" s="77">
        <f t="shared" si="5"/>
        <v>-827456.64160400629</v>
      </c>
      <c r="T54" s="78">
        <f t="shared" si="6"/>
        <v>-3.2513031104283163E-2</v>
      </c>
      <c r="U54" s="104">
        <f t="shared" si="1"/>
        <v>-677456.64160401374</v>
      </c>
      <c r="V54" s="80">
        <f t="shared" si="2"/>
        <v>-2.6776942355889871E-2</v>
      </c>
      <c r="W54" s="90" t="s">
        <v>293</v>
      </c>
      <c r="X54" s="81"/>
    </row>
    <row r="55" spans="1:24" x14ac:dyDescent="0.35">
      <c r="B55" s="38" t="s">
        <v>133</v>
      </c>
      <c r="C55" s="12" t="s">
        <v>134</v>
      </c>
      <c r="D55" s="39">
        <v>29879999.999999996</v>
      </c>
      <c r="E55" s="40" t="s">
        <v>27</v>
      </c>
      <c r="F55" s="22">
        <v>29900000</v>
      </c>
      <c r="G55" s="35">
        <v>27300000</v>
      </c>
      <c r="H55" s="25">
        <v>0.97499999999999998</v>
      </c>
      <c r="I55" s="96">
        <v>0.97499999999999998</v>
      </c>
      <c r="J55" s="25">
        <v>0</v>
      </c>
      <c r="K55" s="31">
        <v>0</v>
      </c>
      <c r="L55" s="20">
        <v>4.0000000000000001E-3</v>
      </c>
      <c r="M55" s="26">
        <v>4.0000000000000001E-3</v>
      </c>
      <c r="N55" s="37">
        <v>0</v>
      </c>
      <c r="O55" s="22">
        <f t="shared" si="0"/>
        <v>29900000</v>
      </c>
      <c r="P55" s="22">
        <f t="shared" si="10"/>
        <v>27300000</v>
      </c>
      <c r="Q55" s="10">
        <f t="shared" si="4"/>
        <v>6.6934404283814351E-4</v>
      </c>
      <c r="S55" s="77">
        <f t="shared" si="5"/>
        <v>20000.000000003725</v>
      </c>
      <c r="T55" s="78">
        <f t="shared" si="6"/>
        <v>6.6934404283814351E-4</v>
      </c>
      <c r="U55" s="97">
        <f t="shared" si="1"/>
        <v>0</v>
      </c>
      <c r="V55" s="79">
        <f t="shared" si="2"/>
        <v>0</v>
      </c>
      <c r="W55" s="90" t="s">
        <v>135</v>
      </c>
    </row>
    <row r="56" spans="1:24" x14ac:dyDescent="0.35">
      <c r="A56" t="s">
        <v>284</v>
      </c>
      <c r="B56" s="38" t="s">
        <v>136</v>
      </c>
      <c r="C56" s="12" t="s">
        <v>137</v>
      </c>
      <c r="D56" s="39">
        <v>26452435.430519715</v>
      </c>
      <c r="E56" s="40" t="s">
        <v>27</v>
      </c>
      <c r="F56" s="22">
        <v>26407240.768926486</v>
      </c>
      <c r="G56" s="35">
        <v>24555766.132323679</v>
      </c>
      <c r="H56" s="25">
        <v>0.96799999999999997</v>
      </c>
      <c r="I56" s="96">
        <v>0.96799999999999997</v>
      </c>
      <c r="J56" s="25">
        <v>0</v>
      </c>
      <c r="K56" s="31">
        <v>0</v>
      </c>
      <c r="L56" s="20">
        <v>2E-3</v>
      </c>
      <c r="M56" s="32">
        <v>1.4E-2</v>
      </c>
      <c r="N56" s="37">
        <v>0</v>
      </c>
      <c r="O56" s="22">
        <f t="shared" si="0"/>
        <v>26089718.835833181</v>
      </c>
      <c r="P56" s="22">
        <f t="shared" si="10"/>
        <v>24260506.419309769</v>
      </c>
      <c r="Q56" s="10">
        <f t="shared" si="4"/>
        <v>-1.3712030245353023E-2</v>
      </c>
      <c r="R56" s="13" t="s">
        <v>38</v>
      </c>
      <c r="S56" s="77">
        <f t="shared" si="5"/>
        <v>-362716.59468653426</v>
      </c>
      <c r="T56" s="78">
        <f t="shared" si="6"/>
        <v>-1.3712030245353023E-2</v>
      </c>
      <c r="U56" s="97">
        <f t="shared" si="1"/>
        <v>-317521.93309330568</v>
      </c>
      <c r="V56" s="79">
        <f t="shared" si="2"/>
        <v>-1.2024048096192431E-2</v>
      </c>
      <c r="W56" s="90" t="s">
        <v>294</v>
      </c>
    </row>
    <row r="57" spans="1:24" x14ac:dyDescent="0.35">
      <c r="A57" t="s">
        <v>284</v>
      </c>
      <c r="B57" s="38" t="s">
        <v>136</v>
      </c>
      <c r="C57" s="12" t="s">
        <v>138</v>
      </c>
      <c r="D57" s="39">
        <v>8665564.5694802757</v>
      </c>
      <c r="E57" s="40" t="s">
        <v>27</v>
      </c>
      <c r="F57" s="22">
        <v>8650759.2310735118</v>
      </c>
      <c r="G57" s="35">
        <v>8044233.8676763214</v>
      </c>
      <c r="H57" s="25">
        <v>0.96799999999999997</v>
      </c>
      <c r="I57" s="96">
        <v>0.96799999999999997</v>
      </c>
      <c r="J57" s="25">
        <v>0</v>
      </c>
      <c r="K57" s="31">
        <v>0</v>
      </c>
      <c r="L57" s="20">
        <v>2E-3</v>
      </c>
      <c r="M57" s="32">
        <v>1.4E-2</v>
      </c>
      <c r="N57" s="37">
        <v>0</v>
      </c>
      <c r="O57" s="22">
        <f t="shared" si="0"/>
        <v>8546742.0860105045</v>
      </c>
      <c r="P57" s="22">
        <f t="shared" si="10"/>
        <v>7947509.6127543608</v>
      </c>
      <c r="Q57" s="10">
        <f t="shared" si="4"/>
        <v>-1.3712030245352808E-2</v>
      </c>
      <c r="R57" s="13" t="s">
        <v>38</v>
      </c>
      <c r="S57" s="77">
        <f t="shared" si="5"/>
        <v>-118822.48346977122</v>
      </c>
      <c r="T57" s="78">
        <f t="shared" si="6"/>
        <v>-1.3712030245352808E-2</v>
      </c>
      <c r="U57" s="97">
        <f t="shared" si="1"/>
        <v>-104017.14506300725</v>
      </c>
      <c r="V57" s="79">
        <f t="shared" si="2"/>
        <v>-1.2024048096192281E-2</v>
      </c>
      <c r="W57" s="90" t="s">
        <v>295</v>
      </c>
    </row>
    <row r="58" spans="1:24" x14ac:dyDescent="0.35">
      <c r="B58" s="38" t="s">
        <v>139</v>
      </c>
      <c r="C58" s="12" t="s">
        <v>140</v>
      </c>
      <c r="D58" s="39">
        <v>28989999.999999985</v>
      </c>
      <c r="E58" s="40" t="s">
        <v>141</v>
      </c>
      <c r="F58" s="22">
        <v>28934000</v>
      </c>
      <c r="G58" s="35">
        <v>26400000</v>
      </c>
      <c r="H58" s="25">
        <v>0.97199999999999998</v>
      </c>
      <c r="I58" s="96">
        <v>0.97199999999999998</v>
      </c>
      <c r="J58" s="25">
        <v>0</v>
      </c>
      <c r="K58" s="31">
        <v>0</v>
      </c>
      <c r="L58" s="20">
        <v>0</v>
      </c>
      <c r="M58" s="26">
        <v>0</v>
      </c>
      <c r="N58" s="37">
        <v>3.0000000000000001E-3</v>
      </c>
      <c r="O58" s="22">
        <f t="shared" si="0"/>
        <v>29020801.999999996</v>
      </c>
      <c r="P58" s="22">
        <f t="shared" si="10"/>
        <v>26479199.999999996</v>
      </c>
      <c r="Q58" s="10">
        <f t="shared" si="4"/>
        <v>1.0625043118320521E-3</v>
      </c>
      <c r="S58" s="77">
        <f t="shared" si="5"/>
        <v>30802.000000011176</v>
      </c>
      <c r="T58" s="78">
        <f t="shared" si="6"/>
        <v>1.0625043118320521E-3</v>
      </c>
      <c r="U58" s="97">
        <f t="shared" si="1"/>
        <v>86801.999999996275</v>
      </c>
      <c r="V58" s="79">
        <f t="shared" si="2"/>
        <v>2.9999999999998713E-3</v>
      </c>
      <c r="W58" s="90" t="s">
        <v>296</v>
      </c>
    </row>
    <row r="59" spans="1:24" x14ac:dyDescent="0.35">
      <c r="A59" t="s">
        <v>284</v>
      </c>
      <c r="B59" s="38" t="s">
        <v>142</v>
      </c>
      <c r="C59" s="12" t="s">
        <v>143</v>
      </c>
      <c r="D59" s="39">
        <v>33368158.491969995</v>
      </c>
      <c r="E59" s="40" t="s">
        <v>27</v>
      </c>
      <c r="F59" s="22">
        <v>33105495.132386681</v>
      </c>
      <c r="G59" s="35">
        <v>30131947.66540584</v>
      </c>
      <c r="H59" s="101">
        <v>0.97499999999999998</v>
      </c>
      <c r="I59" s="98">
        <f>97.5%+1%</f>
        <v>0.98499999999999999</v>
      </c>
      <c r="J59" s="25">
        <v>2.8000000000000001E-2</v>
      </c>
      <c r="K59" s="31">
        <v>2.8000000000000001E-2</v>
      </c>
      <c r="L59" s="20">
        <v>0</v>
      </c>
      <c r="M59" s="68">
        <v>0.01</v>
      </c>
      <c r="N59" s="89">
        <v>7.4999999999999997E-3</v>
      </c>
      <c r="O59" s="99">
        <f t="shared" si="0"/>
        <v>33358917.697625112</v>
      </c>
      <c r="P59" s="22">
        <f t="shared" si="10"/>
        <v>30362607.724784527</v>
      </c>
      <c r="Q59" s="10">
        <f t="shared" si="4"/>
        <v>-2.7693450170788412E-4</v>
      </c>
      <c r="S59" s="77">
        <f t="shared" si="5"/>
        <v>-9240.7943448834121</v>
      </c>
      <c r="T59" s="78">
        <f t="shared" si="6"/>
        <v>-2.7693450170788412E-4</v>
      </c>
      <c r="U59" s="97">
        <f t="shared" si="1"/>
        <v>253422.5652384311</v>
      </c>
      <c r="V59" s="79">
        <f t="shared" si="2"/>
        <v>7.6550000000003343E-3</v>
      </c>
      <c r="W59" s="90" t="s">
        <v>144</v>
      </c>
      <c r="X59" s="102" t="s">
        <v>297</v>
      </c>
    </row>
    <row r="60" spans="1:24" x14ac:dyDescent="0.35">
      <c r="A60" t="s">
        <v>284</v>
      </c>
      <c r="B60" s="38" t="s">
        <v>142</v>
      </c>
      <c r="C60" s="12" t="s">
        <v>145</v>
      </c>
      <c r="D60" s="39">
        <v>33961841.50803002</v>
      </c>
      <c r="E60" s="40" t="s">
        <v>27</v>
      </c>
      <c r="F60" s="22">
        <v>33694504.867613323</v>
      </c>
      <c r="G60" s="35">
        <v>30668052.33459416</v>
      </c>
      <c r="H60" s="101">
        <v>0.97499999999999998</v>
      </c>
      <c r="I60" s="98">
        <f>97.5%+1%</f>
        <v>0.98499999999999999</v>
      </c>
      <c r="J60" s="25">
        <v>2.8000000000000001E-2</v>
      </c>
      <c r="K60" s="31">
        <v>2.8000000000000001E-2</v>
      </c>
      <c r="L60" s="20">
        <v>0</v>
      </c>
      <c r="M60" s="68">
        <v>0.01</v>
      </c>
      <c r="N60" s="89">
        <v>7.4999999999999997E-3</v>
      </c>
      <c r="O60" s="99">
        <f t="shared" si="0"/>
        <v>33952436.302374907</v>
      </c>
      <c r="P60" s="22">
        <f t="shared" si="10"/>
        <v>30902816.27521548</v>
      </c>
      <c r="Q60" s="10">
        <f t="shared" si="4"/>
        <v>-2.7693450170801465E-4</v>
      </c>
      <c r="S60" s="77">
        <f t="shared" si="5"/>
        <v>-9405.2056551128626</v>
      </c>
      <c r="T60" s="78">
        <f t="shared" si="6"/>
        <v>-2.7693450170801465E-4</v>
      </c>
      <c r="U60" s="97">
        <f t="shared" si="1"/>
        <v>257931.43476158381</v>
      </c>
      <c r="V60" s="79">
        <f t="shared" si="2"/>
        <v>7.6550000000001131E-3</v>
      </c>
      <c r="W60" s="90" t="s">
        <v>144</v>
      </c>
      <c r="X60" s="102" t="s">
        <v>297</v>
      </c>
    </row>
    <row r="61" spans="1:24" x14ac:dyDescent="0.35">
      <c r="B61" s="38" t="s">
        <v>146</v>
      </c>
      <c r="C61" s="12" t="s">
        <v>147</v>
      </c>
      <c r="D61" s="39">
        <v>35159634.662701808</v>
      </c>
      <c r="E61" s="40" t="s">
        <v>148</v>
      </c>
      <c r="F61" s="23">
        <v>35159634.662701808</v>
      </c>
      <c r="G61" s="70">
        <v>31816824.778621342</v>
      </c>
      <c r="H61" s="25">
        <v>0.97799999999999998</v>
      </c>
      <c r="I61" s="96">
        <v>0.97799999999999998</v>
      </c>
      <c r="J61" s="25">
        <v>0</v>
      </c>
      <c r="K61" s="31">
        <v>0</v>
      </c>
      <c r="L61" s="20">
        <v>0</v>
      </c>
      <c r="M61" s="26">
        <v>0</v>
      </c>
      <c r="N61" s="37">
        <v>0.01</v>
      </c>
      <c r="O61" s="22">
        <f t="shared" si="0"/>
        <v>35511231.009328827</v>
      </c>
      <c r="P61" s="22">
        <f t="shared" si="10"/>
        <v>32134993.026407555</v>
      </c>
      <c r="Q61" s="10">
        <f t="shared" si="4"/>
        <v>1.0000000000000037E-2</v>
      </c>
      <c r="S61" s="77">
        <f t="shared" si="5"/>
        <v>351596.34662701935</v>
      </c>
      <c r="T61" s="78">
        <f t="shared" si="6"/>
        <v>1.0000000000000037E-2</v>
      </c>
      <c r="U61" s="97">
        <f t="shared" si="1"/>
        <v>351596.34662701935</v>
      </c>
      <c r="V61" s="79">
        <f t="shared" si="2"/>
        <v>1.0000000000000037E-2</v>
      </c>
      <c r="W61" s="90" t="s">
        <v>298</v>
      </c>
    </row>
    <row r="62" spans="1:24" x14ac:dyDescent="0.35">
      <c r="B62" s="38" t="s">
        <v>146</v>
      </c>
      <c r="C62" s="12" t="s">
        <v>149</v>
      </c>
      <c r="D62" s="39">
        <v>25066365.337298181</v>
      </c>
      <c r="E62" s="40" t="s">
        <v>148</v>
      </c>
      <c r="F62" s="23">
        <v>25066365.337298181</v>
      </c>
      <c r="G62" s="70">
        <v>22683175.221378662</v>
      </c>
      <c r="H62" s="25">
        <v>0.97799999999999998</v>
      </c>
      <c r="I62" s="96">
        <v>0.97799999999999998</v>
      </c>
      <c r="J62" s="25">
        <v>0</v>
      </c>
      <c r="K62" s="31">
        <v>0</v>
      </c>
      <c r="L62" s="20">
        <v>0</v>
      </c>
      <c r="M62" s="26">
        <v>0</v>
      </c>
      <c r="N62" s="37">
        <f>0.5%+1.2%</f>
        <v>1.7000000000000001E-2</v>
      </c>
      <c r="O62" s="22">
        <f t="shared" si="0"/>
        <v>25492493.548032247</v>
      </c>
      <c r="P62" s="22">
        <f t="shared" si="10"/>
        <v>23068789.200142097</v>
      </c>
      <c r="Q62" s="10">
        <f t="shared" si="4"/>
        <v>1.6999999999999862E-2</v>
      </c>
      <c r="S62" s="77">
        <f t="shared" si="5"/>
        <v>426128.21073406562</v>
      </c>
      <c r="T62" s="78">
        <f t="shared" si="6"/>
        <v>1.6999999999999862E-2</v>
      </c>
      <c r="U62" s="97">
        <f t="shared" si="1"/>
        <v>426128.21073406562</v>
      </c>
      <c r="V62" s="79">
        <f t="shared" si="2"/>
        <v>1.6999999999999862E-2</v>
      </c>
      <c r="W62" s="90" t="s">
        <v>299</v>
      </c>
    </row>
    <row r="63" spans="1:24" x14ac:dyDescent="0.35">
      <c r="B63" s="38" t="s">
        <v>150</v>
      </c>
      <c r="C63" s="12" t="s">
        <v>151</v>
      </c>
      <c r="D63" s="39">
        <v>71992999.999999985</v>
      </c>
      <c r="E63" s="40" t="s">
        <v>152</v>
      </c>
      <c r="F63" s="22">
        <v>71993000</v>
      </c>
      <c r="G63" s="35">
        <v>65100000</v>
      </c>
      <c r="H63" s="25">
        <v>0.97</v>
      </c>
      <c r="I63" s="96">
        <v>0.97</v>
      </c>
      <c r="J63" s="25">
        <v>5.0000000000000001E-3</v>
      </c>
      <c r="K63" s="31">
        <v>5.0000000000000001E-3</v>
      </c>
      <c r="L63" s="20">
        <v>0</v>
      </c>
      <c r="M63" s="26">
        <v>0</v>
      </c>
      <c r="N63" s="105">
        <f>0.5%+0.1%+1%</f>
        <v>1.6E-2</v>
      </c>
      <c r="O63" s="99">
        <f t="shared" si="0"/>
        <v>73144888</v>
      </c>
      <c r="P63" s="22">
        <f t="shared" si="10"/>
        <v>66141600</v>
      </c>
      <c r="Q63" s="10">
        <f t="shared" si="4"/>
        <v>1.6000000000000212E-2</v>
      </c>
      <c r="S63" s="77">
        <f t="shared" si="5"/>
        <v>1151888.0000000149</v>
      </c>
      <c r="T63" s="78">
        <f t="shared" si="6"/>
        <v>1.6000000000000212E-2</v>
      </c>
      <c r="U63" s="97">
        <f t="shared" si="1"/>
        <v>1151888</v>
      </c>
      <c r="V63" s="79">
        <f t="shared" si="2"/>
        <v>1.6E-2</v>
      </c>
      <c r="W63" s="90" t="s">
        <v>300</v>
      </c>
    </row>
    <row r="64" spans="1:24" x14ac:dyDescent="0.35">
      <c r="B64" s="38" t="s">
        <v>153</v>
      </c>
      <c r="C64" s="106" t="s">
        <v>154</v>
      </c>
      <c r="D64" s="39">
        <v>92149999.999999985</v>
      </c>
      <c r="E64" s="40" t="s">
        <v>155</v>
      </c>
      <c r="F64" s="54">
        <v>92151600</v>
      </c>
      <c r="G64" s="71">
        <v>77400000</v>
      </c>
      <c r="H64" s="25">
        <v>0.97</v>
      </c>
      <c r="I64" s="96">
        <v>0.97</v>
      </c>
      <c r="J64" s="34">
        <v>6.3500000000000001E-2</v>
      </c>
      <c r="K64" s="33">
        <v>3.6299999999999999E-2</v>
      </c>
      <c r="L64" s="20">
        <v>0</v>
      </c>
      <c r="M64" s="26">
        <v>0</v>
      </c>
      <c r="N64" s="37">
        <v>0</v>
      </c>
      <c r="O64" s="22">
        <f t="shared" si="0"/>
        <v>94828080</v>
      </c>
      <c r="P64" s="22">
        <f t="shared" si="10"/>
        <v>79648029.898558453</v>
      </c>
      <c r="Q64" s="10">
        <f t="shared" si="4"/>
        <v>2.9062181226261696E-2</v>
      </c>
      <c r="S64" s="77">
        <f t="shared" si="5"/>
        <v>2678080.0000000149</v>
      </c>
      <c r="T64" s="78">
        <f t="shared" si="6"/>
        <v>2.9062181226261696E-2</v>
      </c>
      <c r="U64" s="97">
        <f t="shared" si="1"/>
        <v>2676480</v>
      </c>
      <c r="V64" s="79">
        <f t="shared" si="2"/>
        <v>2.9044313934863855E-2</v>
      </c>
      <c r="W64" s="90" t="s">
        <v>301</v>
      </c>
    </row>
    <row r="65" spans="1:24" x14ac:dyDescent="0.35">
      <c r="A65" t="s">
        <v>284</v>
      </c>
      <c r="B65" s="38" t="s">
        <v>156</v>
      </c>
      <c r="C65" s="106" t="s">
        <v>157</v>
      </c>
      <c r="D65" s="39">
        <v>65960000</v>
      </c>
      <c r="E65" s="40" t="s">
        <v>158</v>
      </c>
      <c r="F65" s="22">
        <v>65956710</v>
      </c>
      <c r="G65" s="35">
        <v>56300000</v>
      </c>
      <c r="H65" s="25">
        <v>0.97</v>
      </c>
      <c r="I65" s="96">
        <v>0.97</v>
      </c>
      <c r="J65" s="34">
        <v>1.41E-2</v>
      </c>
      <c r="K65" s="46">
        <v>6.7500000000000004E-2</v>
      </c>
      <c r="L65" s="20">
        <v>0</v>
      </c>
      <c r="M65" s="26">
        <v>8.0000000000000002E-3</v>
      </c>
      <c r="N65" s="37">
        <v>0</v>
      </c>
      <c r="O65" s="22">
        <f t="shared" si="0"/>
        <v>61885176</v>
      </c>
      <c r="P65" s="22">
        <f t="shared" si="10"/>
        <v>52824578.557663046</v>
      </c>
      <c r="Q65" s="10">
        <f t="shared" si="4"/>
        <v>-6.1777198302001214E-2</v>
      </c>
      <c r="S65" s="77">
        <f t="shared" si="5"/>
        <v>-4074824</v>
      </c>
      <c r="T65" s="78">
        <f t="shared" si="6"/>
        <v>-6.1777198302001214E-2</v>
      </c>
      <c r="U65" s="104">
        <f t="shared" si="1"/>
        <v>-4071534</v>
      </c>
      <c r="V65" s="80">
        <f t="shared" si="2"/>
        <v>-6.1730398620549749E-2</v>
      </c>
      <c r="W65" s="91" t="s">
        <v>302</v>
      </c>
      <c r="X65" s="107"/>
    </row>
    <row r="66" spans="1:24" x14ac:dyDescent="0.35">
      <c r="B66" s="38" t="s">
        <v>159</v>
      </c>
      <c r="C66" s="108" t="s">
        <v>160</v>
      </c>
      <c r="D66" s="39">
        <v>28699999.999999993</v>
      </c>
      <c r="E66" s="40" t="s">
        <v>161</v>
      </c>
      <c r="F66" s="22">
        <v>28700000</v>
      </c>
      <c r="G66" s="35">
        <v>25700000</v>
      </c>
      <c r="H66" s="25">
        <v>0.96699999999999997</v>
      </c>
      <c r="I66" s="96">
        <v>0.96699999999999997</v>
      </c>
      <c r="J66" s="25">
        <v>0.10100000000000001</v>
      </c>
      <c r="K66" s="46">
        <v>6.1199999999999997E-2</v>
      </c>
      <c r="L66" s="20">
        <v>0</v>
      </c>
      <c r="M66" s="26">
        <v>8.0000000000000002E-3</v>
      </c>
      <c r="N66" s="37">
        <v>5.0000000000000001E-3</v>
      </c>
      <c r="O66" s="22">
        <f t="shared" si="0"/>
        <v>29879478.951724134</v>
      </c>
      <c r="P66" s="22">
        <f t="shared" si="10"/>
        <v>26756188.468965512</v>
      </c>
      <c r="Q66" s="10">
        <f t="shared" si="4"/>
        <v>4.1096827586207044E-2</v>
      </c>
      <c r="R66" s="13" t="s">
        <v>162</v>
      </c>
      <c r="S66" s="77">
        <f t="shared" si="5"/>
        <v>1179478.9517241418</v>
      </c>
      <c r="T66" s="78">
        <f t="shared" si="6"/>
        <v>4.1096827586207044E-2</v>
      </c>
      <c r="U66" s="97">
        <f t="shared" si="1"/>
        <v>1179478.9517241344</v>
      </c>
      <c r="V66" s="79">
        <f t="shared" si="2"/>
        <v>4.1096827586206773E-2</v>
      </c>
      <c r="W66" s="90" t="s">
        <v>303</v>
      </c>
    </row>
    <row r="67" spans="1:24" ht="14.15" customHeight="1" x14ac:dyDescent="0.35">
      <c r="B67" s="38" t="s">
        <v>163</v>
      </c>
      <c r="C67" s="106" t="s">
        <v>164</v>
      </c>
      <c r="D67" s="39">
        <v>24399195.660773233</v>
      </c>
      <c r="E67" s="40" t="s">
        <v>165</v>
      </c>
      <c r="F67" s="22">
        <v>24388064.516129032</v>
      </c>
      <c r="G67" s="35">
        <v>21043709.677419357</v>
      </c>
      <c r="H67" s="101">
        <v>0.95799999999999996</v>
      </c>
      <c r="I67" s="98">
        <f>95.8%+2.2%</f>
        <v>0.98</v>
      </c>
      <c r="J67" s="25">
        <v>8.0000000000000002E-3</v>
      </c>
      <c r="K67" s="46">
        <v>8.3999999999999995E-3</v>
      </c>
      <c r="L67" s="20">
        <v>0.107</v>
      </c>
      <c r="M67" s="67">
        <f>1-(1-0.018)*(1-(0.039+0.029)/2)*(1-0.0203)</f>
        <v>7.0644823600000128E-2</v>
      </c>
      <c r="N67" s="66">
        <v>1.4999999999999999E-2</v>
      </c>
      <c r="O67" s="99">
        <f t="shared" ref="O67:O102" si="12">F67/H67*I67/(1-J67)*(1-K67)/(1-L67)*(1-M67)*(1+N67)</f>
        <v>26342625.235062875</v>
      </c>
      <c r="P67" s="22">
        <f t="shared" si="10"/>
        <v>22730239.918018389</v>
      </c>
      <c r="Q67" s="10">
        <f t="shared" si="4"/>
        <v>7.9651378730246761E-2</v>
      </c>
      <c r="R67" s="13" t="s">
        <v>166</v>
      </c>
      <c r="S67" s="77">
        <f t="shared" si="5"/>
        <v>1943429.5742896423</v>
      </c>
      <c r="T67" s="78">
        <f t="shared" si="6"/>
        <v>7.9651378730246761E-2</v>
      </c>
      <c r="U67" s="104">
        <f t="shared" ref="U67:U102" si="13">O67-F67</f>
        <v>1954560.7189338431</v>
      </c>
      <c r="V67" s="80">
        <f t="shared" ref="V67:V102" si="14">U67/F67</f>
        <v>8.0144150743950815E-2</v>
      </c>
      <c r="W67" s="82" t="s">
        <v>304</v>
      </c>
      <c r="X67" s="102" t="s">
        <v>305</v>
      </c>
    </row>
    <row r="68" spans="1:24" ht="14.15" customHeight="1" x14ac:dyDescent="0.35">
      <c r="B68" s="38" t="s">
        <v>163</v>
      </c>
      <c r="C68" s="106" t="s">
        <v>167</v>
      </c>
      <c r="D68" s="39">
        <v>23022438.538848728</v>
      </c>
      <c r="E68" s="40" t="s">
        <v>165</v>
      </c>
      <c r="F68" s="54">
        <v>23011935.483870968</v>
      </c>
      <c r="G68" s="71">
        <v>19856290.322580643</v>
      </c>
      <c r="H68" s="101">
        <v>0.95799999999999996</v>
      </c>
      <c r="I68" s="98">
        <f>95.8%+2.2%</f>
        <v>0.98</v>
      </c>
      <c r="J68" s="25">
        <v>8.0000000000000002E-3</v>
      </c>
      <c r="K68" s="46">
        <v>8.3999999999999995E-3</v>
      </c>
      <c r="L68" s="20">
        <v>0.107</v>
      </c>
      <c r="M68" s="67">
        <f>1-(1-0.018)*(1-(0.039+0.029)/2)*(1-0.0203)</f>
        <v>7.0644823600000128E-2</v>
      </c>
      <c r="N68" s="37">
        <v>0</v>
      </c>
      <c r="O68" s="99">
        <f t="shared" si="12"/>
        <v>24488874.394286107</v>
      </c>
      <c r="P68" s="22">
        <f t="shared" si="10"/>
        <v>21130695.4161667</v>
      </c>
      <c r="Q68" s="10">
        <f t="shared" ref="Q68:Q98" si="15">(O68-D68)/D68</f>
        <v>6.3695939635711185E-2</v>
      </c>
      <c r="R68" s="13" t="s">
        <v>168</v>
      </c>
      <c r="S68" s="77">
        <f t="shared" ref="S68:S102" si="16">O68-D68</f>
        <v>1466435.8554373793</v>
      </c>
      <c r="T68" s="78">
        <f t="shared" ref="T68:T102" si="17">S68/D68</f>
        <v>6.3695939635711185E-2</v>
      </c>
      <c r="U68" s="104">
        <f t="shared" si="13"/>
        <v>1476938.910415139</v>
      </c>
      <c r="V68" s="80">
        <f t="shared" si="14"/>
        <v>6.4181429304385251E-2</v>
      </c>
      <c r="W68" s="82" t="s">
        <v>306</v>
      </c>
      <c r="X68" s="102" t="s">
        <v>305</v>
      </c>
    </row>
    <row r="69" spans="1:24" x14ac:dyDescent="0.35">
      <c r="A69" t="s">
        <v>284</v>
      </c>
      <c r="B69" s="38" t="s">
        <v>169</v>
      </c>
      <c r="C69" s="12" t="s">
        <v>170</v>
      </c>
      <c r="D69" s="41">
        <v>23500000.000000007</v>
      </c>
      <c r="E69" s="40" t="s">
        <v>171</v>
      </c>
      <c r="F69" s="54">
        <f>23500000</f>
        <v>23500000</v>
      </c>
      <c r="G69" s="71">
        <f>21800000</f>
        <v>21800000</v>
      </c>
      <c r="H69" s="101">
        <v>0.95699999999999996</v>
      </c>
      <c r="I69" s="98">
        <f>95.7%+1%</f>
        <v>0.96700000000000008</v>
      </c>
      <c r="J69" s="25">
        <v>0</v>
      </c>
      <c r="K69" s="31">
        <v>0</v>
      </c>
      <c r="L69" s="31">
        <v>0</v>
      </c>
      <c r="M69" s="26">
        <v>0</v>
      </c>
      <c r="N69" s="37">
        <v>0</v>
      </c>
      <c r="O69" s="99">
        <f t="shared" si="12"/>
        <v>23745559.03866249</v>
      </c>
      <c r="P69" s="22">
        <f t="shared" si="10"/>
        <v>22027795.193312436</v>
      </c>
      <c r="Q69" s="10">
        <f>(O69-D69)/D69</f>
        <v>1.0449320794148169E-2</v>
      </c>
      <c r="R69" s="13" t="s">
        <v>316</v>
      </c>
      <c r="S69" s="77">
        <f t="shared" si="16"/>
        <v>245559.03866248205</v>
      </c>
      <c r="T69" s="78">
        <f t="shared" si="17"/>
        <v>1.0449320794148169E-2</v>
      </c>
      <c r="U69" s="97">
        <f t="shared" si="13"/>
        <v>245559.0386624895</v>
      </c>
      <c r="V69" s="79">
        <f t="shared" si="14"/>
        <v>1.044932079414849E-2</v>
      </c>
      <c r="W69" s="90"/>
      <c r="X69" s="102" t="s">
        <v>307</v>
      </c>
    </row>
    <row r="70" spans="1:24" x14ac:dyDescent="0.35">
      <c r="A70" t="s">
        <v>284</v>
      </c>
      <c r="B70" s="38" t="s">
        <v>172</v>
      </c>
      <c r="C70" s="12" t="s">
        <v>173</v>
      </c>
      <c r="D70" s="41">
        <v>23800000.000000004</v>
      </c>
      <c r="E70" s="40" t="s">
        <v>171</v>
      </c>
      <c r="F70" s="54">
        <f>23800000</f>
        <v>23800000</v>
      </c>
      <c r="G70" s="71">
        <f>22100000</f>
        <v>22100000</v>
      </c>
      <c r="H70" s="101">
        <v>0.95699999999999996</v>
      </c>
      <c r="I70" s="98">
        <f t="shared" ref="I70" si="18">95.7%+1%</f>
        <v>0.96700000000000008</v>
      </c>
      <c r="J70" s="34">
        <v>4.0000000000000002E-4</v>
      </c>
      <c r="K70" s="47">
        <v>4.0000000000000002E-4</v>
      </c>
      <c r="L70" s="31">
        <v>0</v>
      </c>
      <c r="M70" s="26">
        <v>0</v>
      </c>
      <c r="N70" s="37">
        <v>0</v>
      </c>
      <c r="O70" s="99">
        <f t="shared" si="12"/>
        <v>24048693.834900733</v>
      </c>
      <c r="P70" s="22">
        <f t="shared" si="10"/>
        <v>22330929.989550684</v>
      </c>
      <c r="Q70" s="10">
        <f t="shared" si="15"/>
        <v>1.044932079414829E-2</v>
      </c>
      <c r="R70" s="13" t="s">
        <v>316</v>
      </c>
      <c r="S70" s="77">
        <f t="shared" si="16"/>
        <v>248693.83490072936</v>
      </c>
      <c r="T70" s="78">
        <f t="shared" si="17"/>
        <v>1.044932079414829E-2</v>
      </c>
      <c r="U70" s="97">
        <f t="shared" si="13"/>
        <v>248693.83490073308</v>
      </c>
      <c r="V70" s="79">
        <f t="shared" si="14"/>
        <v>1.0449320794148448E-2</v>
      </c>
      <c r="W70" s="90"/>
      <c r="X70" s="102" t="s">
        <v>307</v>
      </c>
    </row>
    <row r="71" spans="1:24" x14ac:dyDescent="0.35">
      <c r="A71" t="s">
        <v>284</v>
      </c>
      <c r="B71" s="38" t="s">
        <v>174</v>
      </c>
      <c r="C71" s="12" t="s">
        <v>175</v>
      </c>
      <c r="D71" s="39">
        <v>17320000.000000004</v>
      </c>
      <c r="E71" s="40" t="s">
        <v>171</v>
      </c>
      <c r="F71" s="54">
        <v>17200000</v>
      </c>
      <c r="G71" s="71">
        <v>15900000</v>
      </c>
      <c r="H71" s="101">
        <v>0.95799999999999996</v>
      </c>
      <c r="I71" s="98">
        <f>95.8%+1%</f>
        <v>0.96799999999999997</v>
      </c>
      <c r="J71" s="34">
        <v>5.7999999999999996E-3</v>
      </c>
      <c r="K71" s="47">
        <v>5.7999999999999996E-3</v>
      </c>
      <c r="L71" s="31">
        <v>0</v>
      </c>
      <c r="M71" s="26">
        <v>0</v>
      </c>
      <c r="N71" s="37">
        <v>5.0000000000000001E-3</v>
      </c>
      <c r="O71" s="99">
        <f t="shared" si="12"/>
        <v>17466438.413361166</v>
      </c>
      <c r="P71" s="22">
        <f t="shared" si="10"/>
        <v>16146300.6263048</v>
      </c>
      <c r="Q71" s="10">
        <f t="shared" si="15"/>
        <v>8.4548737506444527E-3</v>
      </c>
      <c r="S71" s="77">
        <f t="shared" si="16"/>
        <v>146438.41336116195</v>
      </c>
      <c r="T71" s="78">
        <f t="shared" si="17"/>
        <v>8.4548737506444527E-3</v>
      </c>
      <c r="U71" s="97">
        <f t="shared" si="13"/>
        <v>266438.41336116567</v>
      </c>
      <c r="V71" s="79">
        <f t="shared" si="14"/>
        <v>1.5490605427974749E-2</v>
      </c>
      <c r="W71" s="90" t="s">
        <v>176</v>
      </c>
      <c r="X71" s="102" t="s">
        <v>307</v>
      </c>
    </row>
    <row r="72" spans="1:24" x14ac:dyDescent="0.35">
      <c r="B72" s="38" t="s">
        <v>177</v>
      </c>
      <c r="C72" s="12" t="s">
        <v>178</v>
      </c>
      <c r="D72" s="39">
        <v>28300000.000000011</v>
      </c>
      <c r="E72" s="40" t="s">
        <v>179</v>
      </c>
      <c r="F72" s="23">
        <v>28300000.000000011</v>
      </c>
      <c r="G72" s="70">
        <v>25700000</v>
      </c>
      <c r="H72" s="25">
        <v>0.96499999999999997</v>
      </c>
      <c r="I72" s="96">
        <v>0.96499999999999997</v>
      </c>
      <c r="J72" s="25">
        <v>5.0000000000000001E-3</v>
      </c>
      <c r="K72" s="31">
        <v>5.0000000000000001E-3</v>
      </c>
      <c r="L72" s="31">
        <v>0</v>
      </c>
      <c r="M72" s="26">
        <v>0</v>
      </c>
      <c r="N72" s="37">
        <v>0</v>
      </c>
      <c r="O72" s="22">
        <f t="shared" si="12"/>
        <v>28300000.000000011</v>
      </c>
      <c r="P72" s="22">
        <f t="shared" si="10"/>
        <v>25700000</v>
      </c>
      <c r="Q72" s="10">
        <f t="shared" si="15"/>
        <v>0</v>
      </c>
      <c r="S72" s="77">
        <f t="shared" si="16"/>
        <v>0</v>
      </c>
      <c r="T72" s="78">
        <f t="shared" si="17"/>
        <v>0</v>
      </c>
      <c r="U72" s="97">
        <f t="shared" si="13"/>
        <v>0</v>
      </c>
      <c r="V72" s="79">
        <f t="shared" si="14"/>
        <v>0</v>
      </c>
      <c r="W72" s="90"/>
    </row>
    <row r="73" spans="1:24" x14ac:dyDescent="0.35">
      <c r="B73" s="38" t="s">
        <v>180</v>
      </c>
      <c r="C73" s="12" t="s">
        <v>181</v>
      </c>
      <c r="D73" s="39">
        <v>24794083.991626095</v>
      </c>
      <c r="E73" s="40" t="s">
        <v>179</v>
      </c>
      <c r="F73" s="23">
        <v>24794083.991626095</v>
      </c>
      <c r="G73" s="70">
        <v>22416569.088319473</v>
      </c>
      <c r="H73" s="25">
        <v>0.96499999999999997</v>
      </c>
      <c r="I73" s="96">
        <v>0.96499999999999997</v>
      </c>
      <c r="J73" s="25">
        <v>8.9999999999999993E-3</v>
      </c>
      <c r="K73" s="31">
        <v>8.9999999999999993E-3</v>
      </c>
      <c r="L73" s="31">
        <v>0</v>
      </c>
      <c r="M73" s="26">
        <v>0</v>
      </c>
      <c r="N73" s="37">
        <v>0</v>
      </c>
      <c r="O73" s="22">
        <f t="shared" si="12"/>
        <v>24794083.991626095</v>
      </c>
      <c r="P73" s="22">
        <f t="shared" si="10"/>
        <v>22416569.088319473</v>
      </c>
      <c r="Q73" s="10">
        <f t="shared" si="15"/>
        <v>0</v>
      </c>
      <c r="S73" s="77">
        <f t="shared" si="16"/>
        <v>0</v>
      </c>
      <c r="T73" s="78">
        <f t="shared" si="17"/>
        <v>0</v>
      </c>
      <c r="U73" s="97">
        <f t="shared" si="13"/>
        <v>0</v>
      </c>
      <c r="V73" s="79">
        <f t="shared" si="14"/>
        <v>0</v>
      </c>
      <c r="W73" s="90"/>
    </row>
    <row r="74" spans="1:24" x14ac:dyDescent="0.35">
      <c r="B74" s="38" t="s">
        <v>180</v>
      </c>
      <c r="C74" s="12" t="s">
        <v>182</v>
      </c>
      <c r="D74" s="39">
        <v>11705916.008373924</v>
      </c>
      <c r="E74" s="40" t="s">
        <v>179</v>
      </c>
      <c r="F74" s="23">
        <v>11705916.008373924</v>
      </c>
      <c r="G74" s="70">
        <v>10583430.911680529</v>
      </c>
      <c r="H74" s="25">
        <v>0.96499999999999997</v>
      </c>
      <c r="I74" s="96">
        <v>0.96499999999999997</v>
      </c>
      <c r="J74" s="25">
        <v>8.9999999999999993E-3</v>
      </c>
      <c r="K74" s="31">
        <v>8.9999999999999993E-3</v>
      </c>
      <c r="L74" s="31">
        <v>0</v>
      </c>
      <c r="M74" s="26">
        <v>0</v>
      </c>
      <c r="N74" s="37">
        <v>0</v>
      </c>
      <c r="O74" s="22">
        <f t="shared" si="12"/>
        <v>11705916.008373924</v>
      </c>
      <c r="P74" s="22">
        <f t="shared" si="10"/>
        <v>10583430.911680529</v>
      </c>
      <c r="Q74" s="10">
        <f t="shared" si="15"/>
        <v>0</v>
      </c>
      <c r="S74" s="77">
        <f t="shared" si="16"/>
        <v>0</v>
      </c>
      <c r="T74" s="78">
        <f t="shared" si="17"/>
        <v>0</v>
      </c>
      <c r="U74" s="97">
        <f t="shared" si="13"/>
        <v>0</v>
      </c>
      <c r="V74" s="79">
        <f t="shared" si="14"/>
        <v>0</v>
      </c>
      <c r="W74" s="90"/>
    </row>
    <row r="75" spans="1:24" x14ac:dyDescent="0.35">
      <c r="B75" s="38" t="s">
        <v>183</v>
      </c>
      <c r="C75" s="12" t="s">
        <v>184</v>
      </c>
      <c r="D75" s="39">
        <v>18700000.000000007</v>
      </c>
      <c r="E75" s="40" t="s">
        <v>171</v>
      </c>
      <c r="F75" s="23">
        <v>18700000.000000007</v>
      </c>
      <c r="G75" s="70">
        <v>17300000</v>
      </c>
      <c r="H75" s="25">
        <v>0.96099999999999997</v>
      </c>
      <c r="I75" s="96">
        <v>0.96099999999999997</v>
      </c>
      <c r="J75" s="25">
        <v>0</v>
      </c>
      <c r="K75" s="31">
        <v>0</v>
      </c>
      <c r="L75" s="31">
        <v>0</v>
      </c>
      <c r="M75" s="26">
        <v>0</v>
      </c>
      <c r="N75" s="37">
        <v>0</v>
      </c>
      <c r="O75" s="22">
        <f t="shared" si="12"/>
        <v>18700000.000000007</v>
      </c>
      <c r="P75" s="22">
        <f t="shared" si="10"/>
        <v>17300000</v>
      </c>
      <c r="Q75" s="10">
        <f t="shared" si="15"/>
        <v>0</v>
      </c>
      <c r="S75" s="77">
        <f t="shared" si="16"/>
        <v>0</v>
      </c>
      <c r="T75" s="78">
        <f t="shared" si="17"/>
        <v>0</v>
      </c>
      <c r="U75" s="97">
        <f t="shared" si="13"/>
        <v>0</v>
      </c>
      <c r="V75" s="79">
        <f t="shared" si="14"/>
        <v>0</v>
      </c>
      <c r="W75" s="90"/>
    </row>
    <row r="76" spans="1:24" x14ac:dyDescent="0.35">
      <c r="B76" s="38" t="s">
        <v>185</v>
      </c>
      <c r="C76" s="12" t="s">
        <v>186</v>
      </c>
      <c r="D76" s="39">
        <v>20300000.000000011</v>
      </c>
      <c r="E76" s="40" t="s">
        <v>171</v>
      </c>
      <c r="F76" s="22">
        <v>20300000</v>
      </c>
      <c r="G76" s="35">
        <v>18600000</v>
      </c>
      <c r="H76" s="101">
        <v>0.94899999999999995</v>
      </c>
      <c r="I76" s="98">
        <f>94.9%+2%</f>
        <v>0.96900000000000008</v>
      </c>
      <c r="J76" s="25" t="s">
        <v>37</v>
      </c>
      <c r="K76" s="31" t="s">
        <v>37</v>
      </c>
      <c r="L76" s="31">
        <v>0</v>
      </c>
      <c r="M76" s="26">
        <v>0</v>
      </c>
      <c r="N76" s="37">
        <v>0</v>
      </c>
      <c r="O76" s="99">
        <f>F76/H76*I76/(1-L76)*(1-M76)*(1+N76)</f>
        <v>20727818.756585885</v>
      </c>
      <c r="P76" s="22">
        <f>G76/H76*I76/(1-L76)*(1-M76)*(1+N76)</f>
        <v>18991991.570073765</v>
      </c>
      <c r="Q76" s="10">
        <f t="shared" si="15"/>
        <v>2.1074815595363224E-2</v>
      </c>
      <c r="S76" s="77">
        <f t="shared" si="16"/>
        <v>427818.75658587366</v>
      </c>
      <c r="T76" s="78">
        <f t="shared" si="17"/>
        <v>2.1074815595363224E-2</v>
      </c>
      <c r="U76" s="97">
        <f t="shared" si="13"/>
        <v>427818.75658588484</v>
      </c>
      <c r="V76" s="79">
        <f t="shared" si="14"/>
        <v>2.1074815595363786E-2</v>
      </c>
      <c r="W76" s="90"/>
      <c r="X76" s="102" t="s">
        <v>308</v>
      </c>
    </row>
    <row r="77" spans="1:24" x14ac:dyDescent="0.35">
      <c r="B77" s="38" t="s">
        <v>187</v>
      </c>
      <c r="C77" s="12" t="s">
        <v>188</v>
      </c>
      <c r="D77" s="39">
        <v>9029999.9999999981</v>
      </c>
      <c r="E77" s="40" t="s">
        <v>171</v>
      </c>
      <c r="F77" s="23">
        <v>9000000</v>
      </c>
      <c r="G77" s="70">
        <v>8200000</v>
      </c>
      <c r="H77" s="25">
        <v>0.95199999999999996</v>
      </c>
      <c r="I77" s="96">
        <v>0.95199999999999996</v>
      </c>
      <c r="J77" s="25">
        <v>0</v>
      </c>
      <c r="K77" s="31">
        <v>0</v>
      </c>
      <c r="L77" s="31">
        <v>0</v>
      </c>
      <c r="M77" s="26">
        <v>0</v>
      </c>
      <c r="N77" s="37">
        <v>5.0000000000000001E-3</v>
      </c>
      <c r="O77" s="22">
        <f t="shared" si="12"/>
        <v>9044999.9999999981</v>
      </c>
      <c r="P77" s="22">
        <f>G77/H77*I77/(1-J77)*(1-K77)/(1-L77)*(1-M77)*(1+N77)</f>
        <v>8240999.9999999981</v>
      </c>
      <c r="Q77" s="10">
        <f t="shared" si="15"/>
        <v>1.6611295681063125E-3</v>
      </c>
      <c r="S77" s="77">
        <f t="shared" si="16"/>
        <v>15000</v>
      </c>
      <c r="T77" s="78">
        <f t="shared" si="17"/>
        <v>1.6611295681063125E-3</v>
      </c>
      <c r="U77" s="97">
        <f t="shared" si="13"/>
        <v>44999.999999998137</v>
      </c>
      <c r="V77" s="79">
        <f t="shared" si="14"/>
        <v>4.9999999999997928E-3</v>
      </c>
      <c r="W77" s="90" t="s">
        <v>176</v>
      </c>
    </row>
    <row r="78" spans="1:24" x14ac:dyDescent="0.35">
      <c r="B78" s="38" t="s">
        <v>189</v>
      </c>
      <c r="C78" s="12" t="s">
        <v>190</v>
      </c>
      <c r="D78" s="39">
        <v>20520000.000000007</v>
      </c>
      <c r="E78" s="40" t="s">
        <v>171</v>
      </c>
      <c r="F78" s="22">
        <v>20600000</v>
      </c>
      <c r="G78" s="35">
        <v>19200000</v>
      </c>
      <c r="H78" s="25">
        <v>0.96599999999999997</v>
      </c>
      <c r="I78" s="96">
        <v>0.96599999999999997</v>
      </c>
      <c r="J78" s="25">
        <v>0</v>
      </c>
      <c r="K78" s="31">
        <v>0</v>
      </c>
      <c r="L78" s="20">
        <v>0</v>
      </c>
      <c r="M78" s="26">
        <v>0</v>
      </c>
      <c r="N78" s="37">
        <v>6.0000000000000001E-3</v>
      </c>
      <c r="O78" s="22">
        <f t="shared" si="12"/>
        <v>20723600</v>
      </c>
      <c r="P78" s="22">
        <f t="shared" ref="P78:P81" si="19">G78/H78*I78/(1-J78)*(1-K78)/(1-L78)*(1-M78)*(1+N78)</f>
        <v>19315200</v>
      </c>
      <c r="Q78" s="10">
        <f t="shared" si="15"/>
        <v>9.9220272904479764E-3</v>
      </c>
      <c r="S78" s="77">
        <f t="shared" si="16"/>
        <v>203599.99999999255</v>
      </c>
      <c r="T78" s="78">
        <f t="shared" si="17"/>
        <v>9.9220272904479764E-3</v>
      </c>
      <c r="U78" s="97">
        <f t="shared" si="13"/>
        <v>123600</v>
      </c>
      <c r="V78" s="79">
        <f t="shared" si="14"/>
        <v>6.0000000000000001E-3</v>
      </c>
      <c r="W78" s="90" t="s">
        <v>309</v>
      </c>
    </row>
    <row r="79" spans="1:24" x14ac:dyDescent="0.35">
      <c r="A79" t="s">
        <v>284</v>
      </c>
      <c r="B79" s="38" t="s">
        <v>191</v>
      </c>
      <c r="C79" s="12" t="s">
        <v>192</v>
      </c>
      <c r="D79" s="39">
        <v>15240000</v>
      </c>
      <c r="E79" s="40" t="s">
        <v>171</v>
      </c>
      <c r="F79" s="22">
        <v>15100000</v>
      </c>
      <c r="G79" s="35">
        <v>14000000</v>
      </c>
      <c r="H79" s="25">
        <v>0.96</v>
      </c>
      <c r="I79" s="96">
        <v>0.96</v>
      </c>
      <c r="J79" s="25">
        <v>0</v>
      </c>
      <c r="K79" s="31">
        <v>0</v>
      </c>
      <c r="L79" s="20">
        <v>0</v>
      </c>
      <c r="M79" s="26">
        <v>0</v>
      </c>
      <c r="N79" s="66">
        <v>5.0000000000000001E-3</v>
      </c>
      <c r="O79" s="22">
        <f t="shared" si="12"/>
        <v>15175499.999999998</v>
      </c>
      <c r="P79" s="22">
        <f t="shared" si="19"/>
        <v>14069999.999999998</v>
      </c>
      <c r="Q79" s="10">
        <f t="shared" si="15"/>
        <v>-4.2322834645670514E-3</v>
      </c>
      <c r="S79" s="77">
        <f t="shared" si="16"/>
        <v>-64500.000000001863</v>
      </c>
      <c r="T79" s="78">
        <f t="shared" si="17"/>
        <v>-4.2322834645670514E-3</v>
      </c>
      <c r="U79" s="97">
        <f t="shared" si="13"/>
        <v>75499.999999998137</v>
      </c>
      <c r="V79" s="79">
        <f t="shared" si="14"/>
        <v>4.9999999999998769E-3</v>
      </c>
      <c r="W79" s="90" t="s">
        <v>176</v>
      </c>
    </row>
    <row r="80" spans="1:24" x14ac:dyDescent="0.35">
      <c r="A80" t="s">
        <v>284</v>
      </c>
      <c r="B80" s="38" t="s">
        <v>193</v>
      </c>
      <c r="C80" s="12" t="s">
        <v>194</v>
      </c>
      <c r="D80" s="39">
        <v>18620000</v>
      </c>
      <c r="E80" s="40" t="s">
        <v>171</v>
      </c>
      <c r="F80" s="23">
        <v>18500000</v>
      </c>
      <c r="G80" s="70">
        <v>17200000</v>
      </c>
      <c r="H80" s="25">
        <v>0.96699999999999997</v>
      </c>
      <c r="I80" s="96">
        <v>0.96699999999999997</v>
      </c>
      <c r="J80" s="25">
        <v>7.0000000000000001E-3</v>
      </c>
      <c r="K80" s="31">
        <v>7.0000000000000001E-3</v>
      </c>
      <c r="L80" s="31">
        <v>0</v>
      </c>
      <c r="M80" s="26">
        <v>0</v>
      </c>
      <c r="N80" s="66">
        <v>5.0000000000000001E-3</v>
      </c>
      <c r="O80" s="22">
        <f t="shared" si="12"/>
        <v>18592499.999999996</v>
      </c>
      <c r="P80" s="22">
        <f t="shared" si="19"/>
        <v>17286000</v>
      </c>
      <c r="Q80" s="10">
        <f t="shared" si="15"/>
        <v>-1.476906552094722E-3</v>
      </c>
      <c r="S80" s="77">
        <f t="shared" si="16"/>
        <v>-27500.000000003725</v>
      </c>
      <c r="T80" s="78">
        <f t="shared" si="17"/>
        <v>-1.476906552094722E-3</v>
      </c>
      <c r="U80" s="97">
        <f t="shared" si="13"/>
        <v>92499.999999996275</v>
      </c>
      <c r="V80" s="79">
        <f t="shared" si="14"/>
        <v>4.9999999999997989E-3</v>
      </c>
      <c r="W80" s="90" t="s">
        <v>176</v>
      </c>
    </row>
    <row r="81" spans="1:24" x14ac:dyDescent="0.35">
      <c r="A81" t="s">
        <v>284</v>
      </c>
      <c r="B81" s="38" t="s">
        <v>195</v>
      </c>
      <c r="C81" s="12" t="s">
        <v>196</v>
      </c>
      <c r="D81" s="39">
        <v>16980000</v>
      </c>
      <c r="E81" s="40" t="s">
        <v>171</v>
      </c>
      <c r="F81" s="22">
        <v>16800000</v>
      </c>
      <c r="G81" s="35">
        <v>15600000</v>
      </c>
      <c r="H81" s="25">
        <v>0.96799999999999997</v>
      </c>
      <c r="I81" s="96">
        <v>0.96799999999999997</v>
      </c>
      <c r="J81" s="25">
        <v>0</v>
      </c>
      <c r="K81" s="31">
        <v>0</v>
      </c>
      <c r="L81" s="20">
        <v>0</v>
      </c>
      <c r="M81" s="26">
        <v>0</v>
      </c>
      <c r="N81" s="66">
        <v>4.0000000000000001E-3</v>
      </c>
      <c r="O81" s="22">
        <f t="shared" si="12"/>
        <v>16867200</v>
      </c>
      <c r="P81" s="22">
        <f t="shared" si="19"/>
        <v>15662400</v>
      </c>
      <c r="Q81" s="10">
        <f t="shared" si="15"/>
        <v>-6.6431095406360424E-3</v>
      </c>
      <c r="S81" s="77">
        <f t="shared" si="16"/>
        <v>-112800</v>
      </c>
      <c r="T81" s="78">
        <f t="shared" si="17"/>
        <v>-6.6431095406360424E-3</v>
      </c>
      <c r="U81" s="97">
        <f t="shared" si="13"/>
        <v>67200</v>
      </c>
      <c r="V81" s="79">
        <f t="shared" si="14"/>
        <v>4.0000000000000001E-3</v>
      </c>
      <c r="W81" s="90" t="s">
        <v>197</v>
      </c>
    </row>
    <row r="82" spans="1:24" x14ac:dyDescent="0.35">
      <c r="B82" s="38" t="s">
        <v>198</v>
      </c>
      <c r="C82" s="12" t="s">
        <v>199</v>
      </c>
      <c r="D82" s="39">
        <v>19260000</v>
      </c>
      <c r="E82" s="40" t="s">
        <v>200</v>
      </c>
      <c r="F82" s="22">
        <v>19579000</v>
      </c>
      <c r="G82" s="35">
        <v>18100000</v>
      </c>
      <c r="H82" s="25">
        <v>0.98599999999999999</v>
      </c>
      <c r="I82" s="26">
        <v>0.98599999999999999</v>
      </c>
      <c r="J82" s="25" t="s">
        <v>37</v>
      </c>
      <c r="K82" s="31" t="s">
        <v>37</v>
      </c>
      <c r="L82" s="20">
        <f>1-(0.978*0.878)</f>
        <v>0.141316</v>
      </c>
      <c r="M82" s="67">
        <f>1-((1-0.017)*(1-0.117))</f>
        <v>0.13201099999999999</v>
      </c>
      <c r="N82" s="66">
        <v>5.2999999999999999E-2</v>
      </c>
      <c r="O82" s="22">
        <f>F82/H82*I82/(1-L82)*(1-M82)*(1+N82)</f>
        <v>20840096.627447348</v>
      </c>
      <c r="P82" s="22">
        <f>G82/H82*I82/(1-L82)*(1-M82)*(1+N82)</f>
        <v>19265833.237488996</v>
      </c>
      <c r="Q82" s="10">
        <f>(O82-D82)/D82</f>
        <v>8.2040323335791698E-2</v>
      </c>
      <c r="R82" s="90" t="s">
        <v>201</v>
      </c>
      <c r="S82" s="77">
        <f t="shared" si="16"/>
        <v>1580096.6274473481</v>
      </c>
      <c r="T82" s="78">
        <f t="shared" si="17"/>
        <v>8.2040323335791698E-2</v>
      </c>
      <c r="U82" s="104">
        <f t="shared" si="13"/>
        <v>1261096.6274473481</v>
      </c>
      <c r="V82" s="80">
        <f t="shared" si="14"/>
        <v>6.4410676104364267E-2</v>
      </c>
      <c r="W82" s="90" t="s">
        <v>310</v>
      </c>
    </row>
    <row r="83" spans="1:24" x14ac:dyDescent="0.35">
      <c r="B83" s="38" t="s">
        <v>202</v>
      </c>
      <c r="C83" s="12" t="s">
        <v>203</v>
      </c>
      <c r="D83" s="39">
        <v>21600000.000000007</v>
      </c>
      <c r="E83" s="40" t="s">
        <v>171</v>
      </c>
      <c r="F83" s="23">
        <v>21600000.000000007</v>
      </c>
      <c r="G83" s="70">
        <v>20000000</v>
      </c>
      <c r="H83" s="25">
        <v>0.95099999999999996</v>
      </c>
      <c r="I83" s="26">
        <v>0.95099999999999996</v>
      </c>
      <c r="J83" s="25">
        <v>0</v>
      </c>
      <c r="K83" s="31">
        <v>0</v>
      </c>
      <c r="L83" s="31">
        <v>0</v>
      </c>
      <c r="M83" s="68">
        <v>0</v>
      </c>
      <c r="N83" s="66">
        <v>0</v>
      </c>
      <c r="O83" s="22">
        <f t="shared" si="12"/>
        <v>21600000.000000007</v>
      </c>
      <c r="P83" s="22">
        <f>G83/H83*I83/(1-J83)*(1-K83)/(1-L83)*(1-M83)*(1+N83)</f>
        <v>20000000</v>
      </c>
      <c r="Q83" s="10">
        <f t="shared" si="15"/>
        <v>0</v>
      </c>
      <c r="S83" s="77">
        <f t="shared" si="16"/>
        <v>0</v>
      </c>
      <c r="T83" s="78">
        <f t="shared" si="17"/>
        <v>0</v>
      </c>
      <c r="U83" s="97">
        <f t="shared" si="13"/>
        <v>0</v>
      </c>
      <c r="V83" s="79">
        <f t="shared" si="14"/>
        <v>0</v>
      </c>
      <c r="W83" s="13"/>
      <c r="X83" s="13"/>
    </row>
    <row r="84" spans="1:24" x14ac:dyDescent="0.35">
      <c r="B84" s="38" t="s">
        <v>204</v>
      </c>
      <c r="C84" s="12" t="s">
        <v>205</v>
      </c>
      <c r="D84" s="39">
        <v>21280000</v>
      </c>
      <c r="E84" s="40" t="s">
        <v>200</v>
      </c>
      <c r="F84" s="22">
        <v>21281000</v>
      </c>
      <c r="G84" s="35">
        <v>19500000</v>
      </c>
      <c r="H84" s="25">
        <v>0.97399999999999998</v>
      </c>
      <c r="I84" s="26">
        <v>0.97399999999999998</v>
      </c>
      <c r="J84" s="25" t="s">
        <v>37</v>
      </c>
      <c r="K84" s="31" t="s">
        <v>37</v>
      </c>
      <c r="L84" s="31">
        <v>0.12</v>
      </c>
      <c r="M84" s="67">
        <f>1-((1-0.029)*(1-0.112))</f>
        <v>0.13775199999999999</v>
      </c>
      <c r="N84" s="66">
        <v>5.5E-2</v>
      </c>
      <c r="O84" s="22">
        <f>F84/H84*I84/(1-L84)*(1-M84)*(1+N84)</f>
        <v>21998547.921409089</v>
      </c>
      <c r="P84" s="22">
        <f>G84/H84*I84/(1-L84)*(1-M84)*(1+N84)</f>
        <v>20157496.56818182</v>
      </c>
      <c r="Q84" s="10">
        <f t="shared" si="15"/>
        <v>3.3766349690276747E-2</v>
      </c>
      <c r="R84" s="90" t="s">
        <v>206</v>
      </c>
      <c r="S84" s="77">
        <f t="shared" si="16"/>
        <v>718547.92140908912</v>
      </c>
      <c r="T84" s="78">
        <f t="shared" si="17"/>
        <v>3.3766349690276747E-2</v>
      </c>
      <c r="U84" s="104">
        <f t="shared" si="13"/>
        <v>717547.92140908912</v>
      </c>
      <c r="V84" s="80">
        <f t="shared" si="14"/>
        <v>3.3717772727272645E-2</v>
      </c>
      <c r="W84" s="90" t="s">
        <v>311</v>
      </c>
    </row>
    <row r="85" spans="1:24" x14ac:dyDescent="0.35">
      <c r="A85" t="s">
        <v>284</v>
      </c>
      <c r="B85" s="38" t="s">
        <v>207</v>
      </c>
      <c r="C85" s="106" t="s">
        <v>208</v>
      </c>
      <c r="D85" s="39">
        <v>26600000</v>
      </c>
      <c r="E85" s="40" t="s">
        <v>171</v>
      </c>
      <c r="F85" s="55">
        <v>26120000</v>
      </c>
      <c r="G85" s="72">
        <v>23100000</v>
      </c>
      <c r="H85" s="31">
        <v>0.97</v>
      </c>
      <c r="I85" s="26">
        <v>0.97</v>
      </c>
      <c r="J85" s="25">
        <v>3.0000000000000001E-3</v>
      </c>
      <c r="K85" s="31">
        <v>3.0000000000000001E-3</v>
      </c>
      <c r="L85" s="31">
        <v>0</v>
      </c>
      <c r="M85" s="26">
        <v>0</v>
      </c>
      <c r="N85" s="66">
        <v>0</v>
      </c>
      <c r="O85" s="22">
        <f t="shared" si="12"/>
        <v>26120000</v>
      </c>
      <c r="P85" s="22">
        <f>G85/H85*I85/(1-J85)*(1-K85)/(1-L85)*(1-M85)*(1+N85)</f>
        <v>23100000</v>
      </c>
      <c r="Q85" s="10">
        <f t="shared" si="15"/>
        <v>-1.8045112781954888E-2</v>
      </c>
      <c r="S85" s="77">
        <f t="shared" si="16"/>
        <v>-480000</v>
      </c>
      <c r="T85" s="78">
        <f t="shared" si="17"/>
        <v>-1.8045112781954888E-2</v>
      </c>
      <c r="U85" s="97">
        <f t="shared" si="13"/>
        <v>0</v>
      </c>
      <c r="V85" s="79">
        <f t="shared" si="14"/>
        <v>0</v>
      </c>
      <c r="W85" s="90"/>
    </row>
    <row r="86" spans="1:24" x14ac:dyDescent="0.35">
      <c r="B86" s="38" t="s">
        <v>209</v>
      </c>
      <c r="C86" s="106" t="s">
        <v>210</v>
      </c>
      <c r="D86" s="39">
        <v>25100863.565246671</v>
      </c>
      <c r="E86" s="40" t="s">
        <v>211</v>
      </c>
      <c r="F86" s="35">
        <v>45752303</v>
      </c>
      <c r="G86" s="42">
        <v>40225179</v>
      </c>
      <c r="H86" s="48">
        <v>0.97</v>
      </c>
      <c r="I86" s="31">
        <v>0.97</v>
      </c>
      <c r="J86" s="25">
        <v>0</v>
      </c>
      <c r="K86" s="33">
        <v>0</v>
      </c>
      <c r="L86" s="20">
        <v>0</v>
      </c>
      <c r="M86" s="26">
        <v>0</v>
      </c>
      <c r="N86" s="66">
        <v>0</v>
      </c>
      <c r="O86" s="22">
        <f t="shared" si="12"/>
        <v>45752303</v>
      </c>
      <c r="P86" s="22">
        <f t="shared" ref="P86:P92" si="20">G86/H86*I86/(1-J86)*(1-K86)/(1-L86)*(1-M86)*(1+N86)</f>
        <v>40225179</v>
      </c>
      <c r="Q86" s="10">
        <f t="shared" si="15"/>
        <v>0.8227382050451133</v>
      </c>
      <c r="S86" s="77">
        <f t="shared" si="16"/>
        <v>20651439.434753329</v>
      </c>
      <c r="T86" s="78">
        <f t="shared" si="17"/>
        <v>0.8227382050451133</v>
      </c>
      <c r="U86" s="97">
        <f t="shared" si="13"/>
        <v>0</v>
      </c>
      <c r="V86" s="79">
        <f t="shared" si="14"/>
        <v>0</v>
      </c>
      <c r="W86" s="90"/>
    </row>
    <row r="87" spans="1:24" x14ac:dyDescent="0.35">
      <c r="B87" s="38" t="s">
        <v>212</v>
      </c>
      <c r="C87" s="106" t="s">
        <v>213</v>
      </c>
      <c r="D87" s="39">
        <v>32800000.000000004</v>
      </c>
      <c r="E87" s="40" t="s">
        <v>214</v>
      </c>
      <c r="F87" s="22">
        <v>32700000</v>
      </c>
      <c r="G87" s="42">
        <v>29000000</v>
      </c>
      <c r="H87" s="25">
        <v>0.97</v>
      </c>
      <c r="I87" s="26">
        <v>0.97</v>
      </c>
      <c r="J87" s="25">
        <v>0.05</v>
      </c>
      <c r="K87" s="33">
        <v>0.05</v>
      </c>
      <c r="L87" s="20">
        <v>0</v>
      </c>
      <c r="M87" s="26">
        <v>0</v>
      </c>
      <c r="N87" s="37">
        <f>0.3%+0.5%</f>
        <v>8.0000000000000002E-3</v>
      </c>
      <c r="O87" s="22">
        <f t="shared" si="12"/>
        <v>32961599.999999996</v>
      </c>
      <c r="P87" s="22">
        <f t="shared" si="20"/>
        <v>29232000</v>
      </c>
      <c r="Q87" s="10">
        <f t="shared" si="15"/>
        <v>4.9268292682924548E-3</v>
      </c>
      <c r="S87" s="77">
        <f t="shared" si="16"/>
        <v>161599.99999999255</v>
      </c>
      <c r="T87" s="78">
        <f t="shared" si="17"/>
        <v>4.9268292682924548E-3</v>
      </c>
      <c r="U87" s="97">
        <f t="shared" si="13"/>
        <v>261599.99999999627</v>
      </c>
      <c r="V87" s="79">
        <f t="shared" si="14"/>
        <v>7.9999999999998857E-3</v>
      </c>
      <c r="W87" s="90" t="s">
        <v>312</v>
      </c>
    </row>
    <row r="88" spans="1:24" x14ac:dyDescent="0.35">
      <c r="B88" s="38" t="s">
        <v>215</v>
      </c>
      <c r="C88" s="106" t="s">
        <v>216</v>
      </c>
      <c r="D88" s="39">
        <v>74400000</v>
      </c>
      <c r="E88" s="40" t="s">
        <v>217</v>
      </c>
      <c r="F88" s="39">
        <v>74400000</v>
      </c>
      <c r="G88" s="39">
        <v>63100000</v>
      </c>
      <c r="H88" s="25">
        <v>0.97</v>
      </c>
      <c r="I88" s="26">
        <v>0.97</v>
      </c>
      <c r="J88" s="25">
        <v>1.0999999999999999E-2</v>
      </c>
      <c r="K88" s="33">
        <v>1.0999999999999999E-2</v>
      </c>
      <c r="L88" s="20">
        <v>0</v>
      </c>
      <c r="M88" s="26">
        <v>0</v>
      </c>
      <c r="N88" s="37">
        <v>0</v>
      </c>
      <c r="O88" s="22">
        <f t="shared" si="12"/>
        <v>74400000</v>
      </c>
      <c r="P88" s="22">
        <f t="shared" si="20"/>
        <v>63100000</v>
      </c>
      <c r="Q88" s="10">
        <f t="shared" si="15"/>
        <v>0</v>
      </c>
      <c r="S88" s="77">
        <f t="shared" si="16"/>
        <v>0</v>
      </c>
      <c r="T88" s="78">
        <f t="shared" si="17"/>
        <v>0</v>
      </c>
      <c r="U88" s="97">
        <f t="shared" si="13"/>
        <v>0</v>
      </c>
      <c r="V88" s="79">
        <f t="shared" si="14"/>
        <v>0</v>
      </c>
      <c r="W88" s="90"/>
    </row>
    <row r="89" spans="1:24" x14ac:dyDescent="0.35">
      <c r="A89" t="s">
        <v>284</v>
      </c>
      <c r="B89" s="38" t="s">
        <v>218</v>
      </c>
      <c r="C89" s="106" t="s">
        <v>219</v>
      </c>
      <c r="D89" s="39">
        <v>35340073.932576306</v>
      </c>
      <c r="E89" s="40" t="s">
        <v>220</v>
      </c>
      <c r="F89" s="22">
        <v>35207465.775230817</v>
      </c>
      <c r="G89" s="35">
        <v>29306402.773355972</v>
      </c>
      <c r="H89" s="25">
        <v>0.97</v>
      </c>
      <c r="I89" s="26">
        <v>0.97</v>
      </c>
      <c r="J89" s="25">
        <v>1.4E-2</v>
      </c>
      <c r="K89" s="31">
        <v>1.4E-2</v>
      </c>
      <c r="L89" s="20">
        <v>0</v>
      </c>
      <c r="M89" s="32">
        <v>7.0000000000000001E-3</v>
      </c>
      <c r="N89" s="37">
        <v>5.0000000000000001E-3</v>
      </c>
      <c r="O89" s="22">
        <f t="shared" si="12"/>
        <v>35135818.582378216</v>
      </c>
      <c r="P89" s="22">
        <f t="shared" si="20"/>
        <v>29246764.243712191</v>
      </c>
      <c r="Q89" s="10">
        <f t="shared" si="15"/>
        <v>-5.7797091932455889E-3</v>
      </c>
      <c r="S89" s="77">
        <f t="shared" si="16"/>
        <v>-204255.35019809008</v>
      </c>
      <c r="T89" s="78">
        <f t="shared" si="17"/>
        <v>-5.7797091932455889E-3</v>
      </c>
      <c r="U89" s="104">
        <f t="shared" si="13"/>
        <v>-71647.192852601409</v>
      </c>
      <c r="V89" s="80">
        <f t="shared" si="14"/>
        <v>-2.0350000000001903E-3</v>
      </c>
      <c r="W89" s="103" t="s">
        <v>313</v>
      </c>
      <c r="X89" s="109"/>
    </row>
    <row r="90" spans="1:24" x14ac:dyDescent="0.35">
      <c r="A90" t="s">
        <v>284</v>
      </c>
      <c r="B90" s="38" t="s">
        <v>218</v>
      </c>
      <c r="C90" s="106" t="s">
        <v>221</v>
      </c>
      <c r="D90" s="39">
        <v>17959926.067423675</v>
      </c>
      <c r="E90" s="40" t="s">
        <v>220</v>
      </c>
      <c r="F90" s="22">
        <v>17892534.224769183</v>
      </c>
      <c r="G90" s="35">
        <v>14893597.226644026</v>
      </c>
      <c r="H90" s="25">
        <v>0.97</v>
      </c>
      <c r="I90" s="26">
        <v>0.97</v>
      </c>
      <c r="J90" s="25">
        <v>1.4E-2</v>
      </c>
      <c r="K90" s="31">
        <v>1.4E-2</v>
      </c>
      <c r="L90" s="20">
        <v>0</v>
      </c>
      <c r="M90" s="32">
        <v>7.0000000000000001E-3</v>
      </c>
      <c r="N90" s="110">
        <f>0.5%+0.5%</f>
        <v>0.01</v>
      </c>
      <c r="O90" s="99">
        <f t="shared" si="12"/>
        <v>17944959.350047756</v>
      </c>
      <c r="P90" s="22">
        <f t="shared" si="20"/>
        <v>14937235.466518095</v>
      </c>
      <c r="Q90" s="10">
        <f t="shared" si="15"/>
        <v>-8.3333958724175175E-4</v>
      </c>
      <c r="S90" s="77">
        <f t="shared" si="16"/>
        <v>-14966.717375919223</v>
      </c>
      <c r="T90" s="78">
        <f t="shared" si="17"/>
        <v>-8.3333958724175175E-4</v>
      </c>
      <c r="U90" s="104">
        <f t="shared" si="13"/>
        <v>52425.125278573483</v>
      </c>
      <c r="V90" s="80">
        <f t="shared" si="14"/>
        <v>2.9299999999999877E-3</v>
      </c>
      <c r="W90" s="103" t="s">
        <v>313</v>
      </c>
      <c r="X90" s="109"/>
    </row>
    <row r="91" spans="1:24" x14ac:dyDescent="0.35">
      <c r="B91" s="38" t="s">
        <v>222</v>
      </c>
      <c r="C91" s="106" t="s">
        <v>223</v>
      </c>
      <c r="D91" s="39">
        <v>25281509.433962274</v>
      </c>
      <c r="E91" s="40" t="s">
        <v>224</v>
      </c>
      <c r="F91" s="22">
        <v>25285759.141380988</v>
      </c>
      <c r="G91" s="35">
        <v>21376028.316159051</v>
      </c>
      <c r="H91" s="25">
        <v>0.97</v>
      </c>
      <c r="I91" s="26">
        <v>0.97</v>
      </c>
      <c r="J91" s="25">
        <v>8.8999999999999996E-2</v>
      </c>
      <c r="K91" s="33">
        <v>1E-3</v>
      </c>
      <c r="L91" s="20">
        <v>0</v>
      </c>
      <c r="M91" s="26">
        <v>0</v>
      </c>
      <c r="N91" s="37">
        <v>5.0000000000000001E-3</v>
      </c>
      <c r="O91" s="22">
        <f t="shared" si="12"/>
        <v>27866932.765258834</v>
      </c>
      <c r="P91" s="22">
        <f t="shared" si="20"/>
        <v>23558096.102395285</v>
      </c>
      <c r="Q91" s="10">
        <f t="shared" si="15"/>
        <v>0.10226538641017195</v>
      </c>
      <c r="S91" s="77">
        <f t="shared" si="16"/>
        <v>2585423.3312965594</v>
      </c>
      <c r="T91" s="78">
        <f t="shared" si="17"/>
        <v>0.10226538641017195</v>
      </c>
      <c r="U91" s="97">
        <f t="shared" si="13"/>
        <v>2581173.6238778457</v>
      </c>
      <c r="V91" s="79">
        <f t="shared" si="14"/>
        <v>0.10208013172338057</v>
      </c>
      <c r="W91" s="91" t="s">
        <v>314</v>
      </c>
      <c r="X91" s="107"/>
    </row>
    <row r="92" spans="1:24" x14ac:dyDescent="0.35">
      <c r="B92" s="38" t="s">
        <v>222</v>
      </c>
      <c r="C92" s="106" t="s">
        <v>225</v>
      </c>
      <c r="D92" s="39">
        <v>34208490.566037744</v>
      </c>
      <c r="E92" s="40" t="s">
        <v>224</v>
      </c>
      <c r="F92" s="22">
        <v>34214240.858619019</v>
      </c>
      <c r="G92" s="35">
        <v>28923971.683840953</v>
      </c>
      <c r="H92" s="25">
        <v>0.97</v>
      </c>
      <c r="I92" s="26">
        <v>0.97</v>
      </c>
      <c r="J92" s="25">
        <v>8.8999999999999996E-2</v>
      </c>
      <c r="K92" s="33">
        <v>1E-3</v>
      </c>
      <c r="L92" s="20">
        <v>0</v>
      </c>
      <c r="M92" s="26">
        <v>0</v>
      </c>
      <c r="N92" s="37">
        <v>5.0000000000000001E-3</v>
      </c>
      <c r="O92" s="22">
        <f t="shared" si="12"/>
        <v>37706835.072282329</v>
      </c>
      <c r="P92" s="22">
        <f t="shared" si="20"/>
        <v>31876534.523290772</v>
      </c>
      <c r="Q92" s="10">
        <f t="shared" si="15"/>
        <v>0.10226538641017234</v>
      </c>
      <c r="S92" s="77">
        <f t="shared" si="16"/>
        <v>3498344.5062445849</v>
      </c>
      <c r="T92" s="78">
        <f t="shared" si="17"/>
        <v>0.10226538641017234</v>
      </c>
      <c r="U92" s="97">
        <f t="shared" si="13"/>
        <v>3492594.2136633098</v>
      </c>
      <c r="V92" s="79">
        <f t="shared" si="14"/>
        <v>0.10208013172338089</v>
      </c>
      <c r="W92" s="91" t="s">
        <v>315</v>
      </c>
      <c r="X92" s="107"/>
    </row>
    <row r="93" spans="1:24" x14ac:dyDescent="0.35">
      <c r="B93" s="38" t="s">
        <v>226</v>
      </c>
      <c r="C93" s="12" t="s">
        <v>227</v>
      </c>
      <c r="D93" s="39">
        <v>15254200</v>
      </c>
      <c r="E93" s="40" t="s">
        <v>27</v>
      </c>
      <c r="F93" s="39">
        <v>15059000</v>
      </c>
      <c r="G93" s="39">
        <v>14339000</v>
      </c>
      <c r="H93" s="25" t="s">
        <v>47</v>
      </c>
      <c r="I93" s="26" t="s">
        <v>47</v>
      </c>
      <c r="J93" s="25" t="s">
        <v>47</v>
      </c>
      <c r="K93" s="31" t="s">
        <v>47</v>
      </c>
      <c r="L93" s="20" t="s">
        <v>47</v>
      </c>
      <c r="M93" s="26" t="s">
        <v>47</v>
      </c>
      <c r="N93" s="37">
        <v>0</v>
      </c>
      <c r="O93" s="22">
        <f>F93*(1+N93)</f>
        <v>15059000</v>
      </c>
      <c r="P93" s="22">
        <f>G93*(1+N93)</f>
        <v>14339000</v>
      </c>
      <c r="Q93" s="10">
        <f t="shared" si="15"/>
        <v>-1.2796475724718438E-2</v>
      </c>
      <c r="R93" s="13" t="s">
        <v>228</v>
      </c>
      <c r="S93" s="77">
        <f t="shared" si="16"/>
        <v>-195200</v>
      </c>
      <c r="T93" s="78">
        <f t="shared" si="17"/>
        <v>-1.2796475724718438E-2</v>
      </c>
      <c r="U93" s="97">
        <f t="shared" si="13"/>
        <v>0</v>
      </c>
      <c r="V93" s="79">
        <f t="shared" si="14"/>
        <v>0</v>
      </c>
      <c r="W93" s="90"/>
    </row>
    <row r="94" spans="1:24" x14ac:dyDescent="0.35">
      <c r="B94" s="38" t="s">
        <v>229</v>
      </c>
      <c r="C94" s="12" t="s">
        <v>230</v>
      </c>
      <c r="D94" s="39">
        <v>6005600</v>
      </c>
      <c r="E94" s="40" t="s">
        <v>27</v>
      </c>
      <c r="F94" s="49">
        <v>5929000</v>
      </c>
      <c r="G94" s="49">
        <v>5723000</v>
      </c>
      <c r="H94" s="25" t="s">
        <v>47</v>
      </c>
      <c r="I94" s="26" t="s">
        <v>47</v>
      </c>
      <c r="J94" s="25" t="s">
        <v>47</v>
      </c>
      <c r="K94" s="31" t="s">
        <v>47</v>
      </c>
      <c r="L94" s="20" t="s">
        <v>47</v>
      </c>
      <c r="M94" s="26" t="s">
        <v>47</v>
      </c>
      <c r="N94" s="37">
        <v>0</v>
      </c>
      <c r="O94" s="22">
        <f>F94*(1+N94)</f>
        <v>5929000</v>
      </c>
      <c r="P94" s="22">
        <f>G94*(1+N94)</f>
        <v>5723000</v>
      </c>
      <c r="Q94" s="10">
        <f t="shared" si="15"/>
        <v>-1.2754762221926202E-2</v>
      </c>
      <c r="R94" s="13" t="s">
        <v>231</v>
      </c>
      <c r="S94" s="77">
        <f t="shared" si="16"/>
        <v>-76600</v>
      </c>
      <c r="T94" s="78">
        <f t="shared" si="17"/>
        <v>-1.2754762221926202E-2</v>
      </c>
      <c r="U94" s="97">
        <f t="shared" si="13"/>
        <v>0</v>
      </c>
      <c r="V94" s="79">
        <f t="shared" si="14"/>
        <v>0</v>
      </c>
      <c r="W94" s="90"/>
    </row>
    <row r="95" spans="1:24" x14ac:dyDescent="0.35">
      <c r="B95" s="38" t="s">
        <v>232</v>
      </c>
      <c r="C95" s="12" t="s">
        <v>233</v>
      </c>
      <c r="D95" s="39">
        <v>34750000</v>
      </c>
      <c r="E95" s="40" t="s">
        <v>47</v>
      </c>
      <c r="F95" s="49" t="s">
        <v>47</v>
      </c>
      <c r="G95" s="49" t="s">
        <v>47</v>
      </c>
      <c r="H95" s="25" t="s">
        <v>47</v>
      </c>
      <c r="I95" s="26" t="s">
        <v>47</v>
      </c>
      <c r="J95" s="25" t="s">
        <v>47</v>
      </c>
      <c r="K95" s="31" t="s">
        <v>47</v>
      </c>
      <c r="L95" s="20" t="s">
        <v>47</v>
      </c>
      <c r="M95" s="26" t="s">
        <v>47</v>
      </c>
      <c r="N95" s="37" t="s">
        <v>47</v>
      </c>
      <c r="O95" s="22">
        <f>D95</f>
        <v>34750000</v>
      </c>
      <c r="P95" s="22" t="s">
        <v>47</v>
      </c>
      <c r="Q95" s="10" t="s">
        <v>47</v>
      </c>
      <c r="R95" s="13" t="s">
        <v>234</v>
      </c>
      <c r="S95" s="77">
        <f t="shared" si="16"/>
        <v>0</v>
      </c>
      <c r="T95" s="78">
        <f t="shared" si="17"/>
        <v>0</v>
      </c>
      <c r="U95" s="97" t="e">
        <f t="shared" si="13"/>
        <v>#VALUE!</v>
      </c>
      <c r="V95" s="79" t="e">
        <f t="shared" si="14"/>
        <v>#VALUE!</v>
      </c>
      <c r="W95" s="90"/>
    </row>
    <row r="96" spans="1:24" x14ac:dyDescent="0.35">
      <c r="B96" s="38" t="s">
        <v>235</v>
      </c>
      <c r="C96" s="100" t="s">
        <v>236</v>
      </c>
      <c r="D96" s="39">
        <v>10264952.230215598</v>
      </c>
      <c r="E96" s="40" t="s">
        <v>237</v>
      </c>
      <c r="F96" s="22">
        <v>97100000</v>
      </c>
      <c r="G96" s="35">
        <v>87000000</v>
      </c>
      <c r="H96" s="25">
        <v>0.96699999999999997</v>
      </c>
      <c r="I96" s="26">
        <v>0.96699999999999997</v>
      </c>
      <c r="J96" s="25">
        <v>4.0000000000000001E-3</v>
      </c>
      <c r="K96" s="31">
        <v>4.0000000000000001E-3</v>
      </c>
      <c r="L96" s="20">
        <v>0</v>
      </c>
      <c r="M96" s="26">
        <v>0</v>
      </c>
      <c r="N96" s="37">
        <v>0</v>
      </c>
      <c r="O96" s="22">
        <f t="shared" si="12"/>
        <v>97100000</v>
      </c>
      <c r="P96" s="22">
        <f>G96/H96*I96/(1-J96)*(1-K96)/(1-L96)*(1-M96)*(1+N96)</f>
        <v>87000000</v>
      </c>
      <c r="Q96" s="10" t="s">
        <v>47</v>
      </c>
      <c r="R96" s="13" t="s">
        <v>238</v>
      </c>
      <c r="S96" s="77">
        <f t="shared" si="16"/>
        <v>86835047.769784406</v>
      </c>
      <c r="T96" s="78">
        <f t="shared" si="17"/>
        <v>8.4593718336242638</v>
      </c>
      <c r="U96" s="97">
        <f t="shared" si="13"/>
        <v>0</v>
      </c>
      <c r="V96" s="79">
        <f t="shared" si="14"/>
        <v>0</v>
      </c>
      <c r="W96" s="90"/>
    </row>
    <row r="97" spans="1:24" x14ac:dyDescent="0.35">
      <c r="A97" s="121"/>
      <c r="B97" s="38" t="s">
        <v>239</v>
      </c>
      <c r="C97" s="106" t="s">
        <v>240</v>
      </c>
      <c r="D97" s="39">
        <v>6151529.7357230773</v>
      </c>
      <c r="E97" s="40" t="s">
        <v>241</v>
      </c>
      <c r="F97" s="22">
        <v>30259000</v>
      </c>
      <c r="G97" s="35">
        <v>26900000</v>
      </c>
      <c r="H97" s="25">
        <v>0.97</v>
      </c>
      <c r="I97" s="26">
        <v>0.97</v>
      </c>
      <c r="J97" s="25">
        <v>1E-3</v>
      </c>
      <c r="K97" s="31">
        <v>0</v>
      </c>
      <c r="L97" s="20">
        <v>0</v>
      </c>
      <c r="M97" s="26">
        <v>0</v>
      </c>
      <c r="N97" s="37">
        <v>0</v>
      </c>
      <c r="O97" s="22">
        <f t="shared" si="12"/>
        <v>30289289.289289288</v>
      </c>
      <c r="P97" s="22">
        <f t="shared" ref="P97:P99" si="21">G97/H97*I97/(1-J97)*(1-K97)/(1-L97)*(1-M97)*(1+N97)</f>
        <v>26926926.926926926</v>
      </c>
      <c r="Q97" s="10">
        <f t="shared" si="15"/>
        <v>3.9238629398787999</v>
      </c>
      <c r="S97" s="77">
        <f t="shared" si="16"/>
        <v>24137759.55356621</v>
      </c>
      <c r="T97" s="78">
        <f t="shared" si="17"/>
        <v>3.9238629398787999</v>
      </c>
      <c r="U97" s="97">
        <f t="shared" si="13"/>
        <v>30289.289289288223</v>
      </c>
      <c r="V97" s="79">
        <f t="shared" si="14"/>
        <v>1.0010010010009656E-3</v>
      </c>
      <c r="W97" s="90"/>
    </row>
    <row r="98" spans="1:24" x14ac:dyDescent="0.35">
      <c r="A98" s="121"/>
      <c r="B98" s="38" t="s">
        <v>242</v>
      </c>
      <c r="C98" s="106" t="s">
        <v>243</v>
      </c>
      <c r="D98" s="39">
        <v>4872795.1438594898</v>
      </c>
      <c r="E98" s="40" t="s">
        <v>244</v>
      </c>
      <c r="F98" s="22">
        <v>43700000</v>
      </c>
      <c r="G98" s="35">
        <v>37100000</v>
      </c>
      <c r="H98" s="25">
        <v>0.97</v>
      </c>
      <c r="I98" s="26">
        <v>0.97</v>
      </c>
      <c r="J98" s="25">
        <v>0</v>
      </c>
      <c r="K98" s="31">
        <v>0</v>
      </c>
      <c r="L98" s="20">
        <v>4.0000000000000001E-3</v>
      </c>
      <c r="M98" s="26">
        <v>0</v>
      </c>
      <c r="N98" s="37">
        <v>0</v>
      </c>
      <c r="O98" s="22">
        <f t="shared" si="12"/>
        <v>43875502.008032128</v>
      </c>
      <c r="P98" s="22">
        <f t="shared" si="21"/>
        <v>37248995.983935744</v>
      </c>
      <c r="Q98" s="10">
        <f t="shared" si="15"/>
        <v>8.0041753680784957</v>
      </c>
      <c r="R98" s="13" t="s">
        <v>238</v>
      </c>
      <c r="S98" s="77">
        <f t="shared" si="16"/>
        <v>39002706.864172637</v>
      </c>
      <c r="T98" s="78">
        <f t="shared" si="17"/>
        <v>8.0041753680784957</v>
      </c>
      <c r="U98" s="97">
        <f t="shared" si="13"/>
        <v>175502.00803212821</v>
      </c>
      <c r="V98" s="79">
        <f t="shared" si="14"/>
        <v>4.016064257028106E-3</v>
      </c>
      <c r="W98" s="90" t="s">
        <v>245</v>
      </c>
    </row>
    <row r="99" spans="1:24" x14ac:dyDescent="0.35">
      <c r="A99" s="121"/>
      <c r="B99" s="38" t="s">
        <v>246</v>
      </c>
      <c r="C99" s="106" t="s">
        <v>247</v>
      </c>
      <c r="D99" s="42" t="s">
        <v>47</v>
      </c>
      <c r="E99" s="40" t="s">
        <v>248</v>
      </c>
      <c r="F99" s="54">
        <f>40100000*SUM('BP2021 - Distribution mensuelle'!CV11:CV14)</f>
        <v>14838908.844999257</v>
      </c>
      <c r="G99" s="71">
        <f>34300000*SUM('BP2021 - Distribution mensuelle'!CV11:CV14)</f>
        <v>12692632.752705101</v>
      </c>
      <c r="H99" s="25">
        <v>0.97</v>
      </c>
      <c r="I99" s="26">
        <v>0.97</v>
      </c>
      <c r="J99" s="31">
        <v>0</v>
      </c>
      <c r="K99" s="31">
        <v>0</v>
      </c>
      <c r="L99" s="31">
        <v>0</v>
      </c>
      <c r="M99" s="26">
        <v>0</v>
      </c>
      <c r="N99" s="37">
        <v>0</v>
      </c>
      <c r="O99" s="22">
        <f t="shared" si="12"/>
        <v>14838908.844999257</v>
      </c>
      <c r="P99" s="22">
        <f t="shared" si="21"/>
        <v>12692632.752705101</v>
      </c>
      <c r="Q99" s="10" t="s">
        <v>47</v>
      </c>
      <c r="R99" s="13" t="s">
        <v>249</v>
      </c>
      <c r="S99" s="77" t="e">
        <f t="shared" si="16"/>
        <v>#VALUE!</v>
      </c>
      <c r="T99" s="78" t="e">
        <f t="shared" si="17"/>
        <v>#VALUE!</v>
      </c>
      <c r="U99" s="97">
        <f t="shared" si="13"/>
        <v>0</v>
      </c>
      <c r="V99" s="79">
        <f t="shared" si="14"/>
        <v>0</v>
      </c>
      <c r="W99" s="90"/>
    </row>
    <row r="100" spans="1:24" x14ac:dyDescent="0.35">
      <c r="A100" s="121"/>
      <c r="B100" s="38"/>
      <c r="C100" s="12" t="s">
        <v>250</v>
      </c>
      <c r="D100" s="42" t="s">
        <v>47</v>
      </c>
      <c r="E100" s="40" t="s">
        <v>251</v>
      </c>
      <c r="F100" s="22">
        <f>17450000*SUM('BP2021 - Distribution mensuelle'!CW13:CW14)</f>
        <v>1158404.1867231613</v>
      </c>
      <c r="G100" s="71">
        <f>16260000*SUM('BP2021 - Distribution mensuelle'!CW13:CW14)</f>
        <v>1079406.9957661091</v>
      </c>
      <c r="H100" s="25" t="s">
        <v>47</v>
      </c>
      <c r="I100" s="26" t="s">
        <v>47</v>
      </c>
      <c r="J100" s="35" t="s">
        <v>47</v>
      </c>
      <c r="K100" s="31" t="s">
        <v>47</v>
      </c>
      <c r="L100" s="21" t="s">
        <v>47</v>
      </c>
      <c r="M100" s="26" t="s">
        <v>47</v>
      </c>
      <c r="N100" s="37">
        <v>0</v>
      </c>
      <c r="O100" s="22">
        <f>F100*(1+N100)</f>
        <v>1158404.1867231613</v>
      </c>
      <c r="P100" s="22">
        <f>G100*(1+N100)</f>
        <v>1079406.9957661091</v>
      </c>
      <c r="Q100" s="10" t="s">
        <v>47</v>
      </c>
      <c r="R100" s="13" t="s">
        <v>252</v>
      </c>
      <c r="S100" s="77" t="e">
        <f t="shared" si="16"/>
        <v>#VALUE!</v>
      </c>
      <c r="T100" s="78" t="e">
        <f t="shared" si="17"/>
        <v>#VALUE!</v>
      </c>
      <c r="U100" s="97">
        <f t="shared" si="13"/>
        <v>0</v>
      </c>
      <c r="V100" s="79">
        <f t="shared" si="14"/>
        <v>0</v>
      </c>
      <c r="W100" s="90"/>
    </row>
    <row r="101" spans="1:24" x14ac:dyDescent="0.35">
      <c r="A101" s="121"/>
      <c r="B101" s="38"/>
      <c r="C101" s="12" t="s">
        <v>253</v>
      </c>
      <c r="D101" s="42" t="s">
        <v>47</v>
      </c>
      <c r="E101" s="40" t="s">
        <v>254</v>
      </c>
      <c r="F101" s="22">
        <f>22046000*SUM('BP2021 - Distribution mensuelle'!CX12:CX14)</f>
        <v>3081729.1000000006</v>
      </c>
      <c r="G101" s="35">
        <f>20208000*SUM('BP2021 - Distribution mensuelle'!CX12:CX14)</f>
        <v>2824801.8530708523</v>
      </c>
      <c r="H101" s="25" t="s">
        <v>47</v>
      </c>
      <c r="I101" s="26" t="s">
        <v>47</v>
      </c>
      <c r="J101" s="35" t="s">
        <v>47</v>
      </c>
      <c r="K101" s="31" t="s">
        <v>47</v>
      </c>
      <c r="L101" s="21" t="s">
        <v>47</v>
      </c>
      <c r="M101" s="26" t="s">
        <v>47</v>
      </c>
      <c r="N101" s="37">
        <v>0</v>
      </c>
      <c r="O101" s="22">
        <f>F101*(1+N101)</f>
        <v>3081729.1000000006</v>
      </c>
      <c r="P101" s="22">
        <f>G101*(1+N101)</f>
        <v>2824801.8530708523</v>
      </c>
      <c r="Q101" s="10" t="s">
        <v>47</v>
      </c>
      <c r="R101" s="13" t="s">
        <v>255</v>
      </c>
      <c r="S101" s="77" t="e">
        <f t="shared" si="16"/>
        <v>#VALUE!</v>
      </c>
      <c r="T101" s="78" t="e">
        <f t="shared" si="17"/>
        <v>#VALUE!</v>
      </c>
      <c r="U101" s="97">
        <f t="shared" si="13"/>
        <v>0</v>
      </c>
      <c r="V101" s="79">
        <f t="shared" si="14"/>
        <v>0</v>
      </c>
      <c r="W101" s="90"/>
    </row>
    <row r="102" spans="1:24" ht="15" thickBot="1" x14ac:dyDescent="0.4">
      <c r="A102" s="121"/>
      <c r="B102" s="43" t="s">
        <v>256</v>
      </c>
      <c r="C102" s="51" t="s">
        <v>257</v>
      </c>
      <c r="D102" s="44" t="s">
        <v>47</v>
      </c>
      <c r="E102" s="50" t="s">
        <v>258</v>
      </c>
      <c r="F102" s="24">
        <f>32900000*SUM('BP2021 - Distribution mensuelle'!CY7:CY14)</f>
        <v>20044795.676750604</v>
      </c>
      <c r="G102" s="73">
        <f>28800000*SUM('BP2021 - Distribution mensuelle'!CY7:CY14)</f>
        <v>17546812.020985331</v>
      </c>
      <c r="H102" s="29">
        <v>0.96699999999999997</v>
      </c>
      <c r="I102" s="30">
        <v>0.96699999999999997</v>
      </c>
      <c r="J102" s="29">
        <v>0.111</v>
      </c>
      <c r="K102" s="36">
        <v>0.111</v>
      </c>
      <c r="L102" s="30">
        <v>0</v>
      </c>
      <c r="M102" s="30">
        <v>0</v>
      </c>
      <c r="N102" s="52">
        <v>0</v>
      </c>
      <c r="O102" s="53">
        <f t="shared" si="12"/>
        <v>20044795.676750604</v>
      </c>
      <c r="P102" s="53">
        <f>G102/H102*I102/(1-J102)*(1-K102)/(1-L102)*(1-M102)*(1+N102)</f>
        <v>17546812.020985331</v>
      </c>
      <c r="Q102" s="10" t="s">
        <v>47</v>
      </c>
      <c r="R102" s="13" t="s">
        <v>259</v>
      </c>
      <c r="S102" s="83" t="e">
        <f t="shared" si="16"/>
        <v>#VALUE!</v>
      </c>
      <c r="T102" s="84" t="e">
        <f t="shared" si="17"/>
        <v>#VALUE!</v>
      </c>
      <c r="U102" s="85">
        <f t="shared" si="13"/>
        <v>0</v>
      </c>
      <c r="V102" s="86">
        <f t="shared" si="14"/>
        <v>0</v>
      </c>
      <c r="W102" s="92"/>
    </row>
    <row r="103" spans="1:24" x14ac:dyDescent="0.35">
      <c r="C103" s="12" t="s">
        <v>260</v>
      </c>
      <c r="D103" s="88">
        <f>SUM(D3:D102)</f>
        <v>2214262603.1975684</v>
      </c>
      <c r="O103" s="88">
        <f>SUM(O3:O102)</f>
        <v>2425224762.5150671</v>
      </c>
      <c r="Q103" s="10">
        <f>(O103-D103)/D103</f>
        <v>9.5274227642580797E-2</v>
      </c>
    </row>
    <row r="104" spans="1:24" x14ac:dyDescent="0.35">
      <c r="C104" s="12" t="s">
        <v>261</v>
      </c>
      <c r="D104" s="88">
        <f>D3+D4+D5+D6+D7+D8+D9+D10+D13+D14+D15+D16+D17+D18+D19+D20+D21+D22+D23+D24+D25+D26+D27+D28+D29+D30+D31+D32+D33+D34+D35+D36+D37+D38+D39+D40+D41+D42+D44+D45+D46+D47+D48+D49+D50+D51+D52+D53+D54+D55+D56+D57+D58+D59+D60+D61+D62+D63+D64+D65+D66+D67+D68+D71+D72+D73+D74+D75+D76+D77+D78+D79+D80+D81+D82+D83+D84+D85+D87+D88+D89+D90+D91+D92</f>
        <v>2031719634.1996217</v>
      </c>
      <c r="F104" s="119"/>
      <c r="G104" s="120"/>
      <c r="O104" s="88">
        <f>O3+O4+O5+O6+O7+O8+O9+O10+O13+O14+O15+O16+O17+O18+O19+O20+O21+O22+O23+O24+O25+O26+O27+O28+O29+O30+O31+O32+O33+O34+O35+O36+O37+O38+O39+O40+O41+O42+O44+O45+O46+O47+O48+O49+O50+O51+O52+O53+O54+O55+O56+O57+O58+O59+O60+O61+O62+O63+O64+O65+O66+O67+O68+O71+O72+O73+O74+O75+O76+O77+O78+O79+O80+O81+O82+O83+O84+O85+O87+O88+O89+O90+O91+O92</f>
        <v>2050054152.8085589</v>
      </c>
      <c r="Q104" s="10">
        <f>(O104-D104)/D104</f>
        <v>9.0241381243332756E-3</v>
      </c>
    </row>
    <row r="105" spans="1:24" x14ac:dyDescent="0.35">
      <c r="F105" s="22"/>
    </row>
    <row r="106" spans="1:24" x14ac:dyDescent="0.35">
      <c r="F106" s="22"/>
    </row>
    <row r="107" spans="1:24" x14ac:dyDescent="0.35">
      <c r="D107" s="88"/>
      <c r="F107" s="88">
        <f>+F89+F90</f>
        <v>53100000</v>
      </c>
      <c r="M107" s="88"/>
      <c r="N107" s="88"/>
      <c r="O107" s="88"/>
    </row>
    <row r="108" spans="1:24" x14ac:dyDescent="0.35">
      <c r="D108" s="88"/>
      <c r="F108" s="111"/>
      <c r="M108" s="88"/>
      <c r="N108" s="88"/>
      <c r="O108" s="88"/>
    </row>
    <row r="109" spans="1:24" s="95" customFormat="1" ht="15" thickBot="1" x14ac:dyDescent="0.4">
      <c r="B109" s="112"/>
      <c r="C109" s="113"/>
      <c r="D109" s="112"/>
      <c r="E109" s="112"/>
      <c r="F109" s="112"/>
      <c r="G109" s="112"/>
      <c r="H109" s="112"/>
      <c r="I109" s="112"/>
      <c r="J109" s="112"/>
      <c r="K109" s="112"/>
      <c r="L109" s="112"/>
      <c r="M109" s="112"/>
      <c r="N109" s="112"/>
      <c r="O109" s="112"/>
      <c r="P109" s="112"/>
      <c r="Q109" s="112"/>
      <c r="R109" s="112"/>
      <c r="S109" s="112"/>
      <c r="T109" s="112"/>
      <c r="U109" s="112"/>
      <c r="V109" s="112"/>
      <c r="W109" s="112"/>
      <c r="X109" s="112"/>
    </row>
    <row r="110" spans="1:24" ht="16.5" customHeight="1" x14ac:dyDescent="0.35">
      <c r="C110" s="288" t="s">
        <v>262</v>
      </c>
      <c r="O110" s="10"/>
    </row>
    <row r="111" spans="1:24" x14ac:dyDescent="0.35">
      <c r="C111" s="289"/>
    </row>
    <row r="112" spans="1:24" x14ac:dyDescent="0.35">
      <c r="C112" s="289"/>
    </row>
    <row r="113" spans="3:6" x14ac:dyDescent="0.35">
      <c r="C113" s="289"/>
      <c r="F113" s="114"/>
    </row>
    <row r="114" spans="3:6" x14ac:dyDescent="0.35">
      <c r="C114" s="289"/>
    </row>
    <row r="115" spans="3:6" x14ac:dyDescent="0.35">
      <c r="C115" s="289"/>
    </row>
    <row r="116" spans="3:6" ht="15" thickBot="1" x14ac:dyDescent="0.4">
      <c r="C116" s="290"/>
    </row>
  </sheetData>
  <sheetProtection algorithmName="SHA-512" hashValue="q7LojiHRekhaRQJtFvZOiN3XyqkRzeK29Urse+xPKHZbKUmRju5eocJKzwbhdKUYn9uWLfHHuz3G1uUr1hbdyw==" saltValue="mbZ5erQgy7EjHOUPEPCf8A==" spinCount="100000" sheet="1" sort="0" autoFilter="0"/>
  <autoFilter ref="A2:W104" xr:uid="{7D9AA980-EF67-45E1-877C-6AF3918CB92F}"/>
  <mergeCells count="5">
    <mergeCell ref="H1:I1"/>
    <mergeCell ref="J1:M1"/>
    <mergeCell ref="S1:W1"/>
    <mergeCell ref="F1:G1"/>
    <mergeCell ref="C110:C116"/>
  </mergeCells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EA48D-57E5-4ACA-AAF2-9E2D1A88DDEE}">
  <sheetPr>
    <tabColor theme="1"/>
  </sheetPr>
  <dimension ref="B2:DB46"/>
  <sheetViews>
    <sheetView zoomScale="59" zoomScaleNormal="59" workbookViewId="0">
      <selection activeCell="F14" sqref="F14"/>
    </sheetView>
  </sheetViews>
  <sheetFormatPr baseColWidth="10" defaultColWidth="11.453125" defaultRowHeight="14.5" x14ac:dyDescent="0.35"/>
  <cols>
    <col min="2" max="2" width="12" bestFit="1" customWidth="1"/>
    <col min="3" max="3" width="24.26953125" bestFit="1" customWidth="1"/>
    <col min="4" max="4" width="11.1796875" bestFit="1" customWidth="1"/>
    <col min="5" max="5" width="11.7265625" bestFit="1" customWidth="1"/>
    <col min="6" max="7" width="8.1796875" bestFit="1" customWidth="1"/>
    <col min="8" max="8" width="14.1796875" bestFit="1" customWidth="1"/>
    <col min="9" max="9" width="13.453125" bestFit="1" customWidth="1"/>
    <col min="10" max="10" width="11.81640625" bestFit="1" customWidth="1"/>
    <col min="11" max="11" width="13.7265625" bestFit="1" customWidth="1"/>
    <col min="12" max="12" width="18.1796875" bestFit="1" customWidth="1"/>
    <col min="13" max="13" width="36.453125" bestFit="1" customWidth="1"/>
    <col min="14" max="14" width="13.26953125" bestFit="1" customWidth="1"/>
    <col min="15" max="15" width="8.81640625" bestFit="1" customWidth="1"/>
    <col min="16" max="16" width="11.26953125" bestFit="1" customWidth="1"/>
    <col min="17" max="17" width="13.26953125" bestFit="1" customWidth="1"/>
    <col min="18" max="20" width="10.453125" bestFit="1" customWidth="1"/>
    <col min="21" max="21" width="14.1796875" bestFit="1" customWidth="1"/>
    <col min="22" max="24" width="17.81640625" bestFit="1" customWidth="1"/>
    <col min="25" max="25" width="16.26953125" bestFit="1" customWidth="1"/>
    <col min="26" max="26" width="8.1796875" bestFit="1" customWidth="1"/>
    <col min="27" max="27" width="33.1796875" bestFit="1" customWidth="1"/>
    <col min="28" max="28" width="32.81640625" bestFit="1" customWidth="1"/>
    <col min="29" max="29" width="29.26953125" bestFit="1" customWidth="1"/>
    <col min="30" max="30" width="22" bestFit="1" customWidth="1"/>
    <col min="31" max="32" width="8.1796875" bestFit="1" customWidth="1"/>
    <col min="33" max="34" width="16.81640625" bestFit="1" customWidth="1"/>
    <col min="35" max="35" width="26.1796875" bestFit="1" customWidth="1"/>
    <col min="36" max="36" width="11.453125" bestFit="1" customWidth="1"/>
    <col min="37" max="37" width="16.81640625" bestFit="1" customWidth="1"/>
    <col min="38" max="38" width="13.7265625" bestFit="1" customWidth="1"/>
    <col min="39" max="39" width="12.54296875" bestFit="1" customWidth="1"/>
    <col min="40" max="40" width="18.453125" bestFit="1" customWidth="1"/>
    <col min="41" max="42" width="18.54296875" bestFit="1" customWidth="1"/>
    <col min="43" max="43" width="18.81640625" bestFit="1" customWidth="1"/>
    <col min="44" max="44" width="11.1796875" bestFit="1" customWidth="1"/>
    <col min="45" max="47" width="15.26953125" bestFit="1" customWidth="1"/>
    <col min="48" max="48" width="8.81640625" bestFit="1" customWidth="1"/>
    <col min="49" max="49" width="14.1796875" bestFit="1" customWidth="1"/>
    <col min="50" max="50" width="14.54296875" bestFit="1" customWidth="1"/>
    <col min="51" max="51" width="14.453125" bestFit="1" customWidth="1"/>
    <col min="52" max="53" width="8.1796875" bestFit="1" customWidth="1"/>
    <col min="54" max="54" width="12.81640625" bestFit="1" customWidth="1"/>
    <col min="55" max="55" width="15.1796875" bestFit="1" customWidth="1"/>
    <col min="56" max="56" width="8.26953125" bestFit="1" customWidth="1"/>
    <col min="57" max="58" width="20.1796875" bestFit="1" customWidth="1"/>
    <col min="59" max="59" width="14.7265625" bestFit="1" customWidth="1"/>
    <col min="60" max="61" width="16.54296875" bestFit="1" customWidth="1"/>
    <col min="62" max="63" width="8.1796875" bestFit="1" customWidth="1"/>
    <col min="64" max="64" width="15" bestFit="1" customWidth="1"/>
    <col min="65" max="65" width="19.453125" bestFit="1" customWidth="1"/>
    <col min="66" max="66" width="19.54296875" bestFit="1" customWidth="1"/>
    <col min="67" max="67" width="8.54296875" bestFit="1" customWidth="1"/>
    <col min="68" max="68" width="19.81640625" bestFit="1" customWidth="1"/>
    <col min="69" max="69" width="16.26953125" bestFit="1" customWidth="1"/>
    <col min="70" max="70" width="16.54296875" bestFit="1" customWidth="1"/>
    <col min="71" max="71" width="18.453125" bestFit="1" customWidth="1"/>
    <col min="72" max="72" width="8.26953125" bestFit="1" customWidth="1"/>
    <col min="73" max="73" width="17.453125" bestFit="1" customWidth="1"/>
    <col min="74" max="75" width="14.81640625" bestFit="1" customWidth="1"/>
    <col min="76" max="76" width="12" bestFit="1" customWidth="1"/>
    <col min="77" max="77" width="11.26953125" bestFit="1" customWidth="1"/>
    <col min="78" max="78" width="16.26953125" bestFit="1" customWidth="1"/>
    <col min="79" max="79" width="8.54296875" bestFit="1" customWidth="1"/>
    <col min="80" max="80" width="12.7265625" bestFit="1" customWidth="1"/>
    <col min="81" max="81" width="17.7265625" bestFit="1" customWidth="1"/>
    <col min="82" max="82" width="20.7265625" bestFit="1" customWidth="1"/>
    <col min="83" max="83" width="9.453125" bestFit="1" customWidth="1"/>
    <col min="84" max="84" width="26.453125" bestFit="1" customWidth="1"/>
    <col min="85" max="85" width="10.453125" bestFit="1" customWidth="1"/>
    <col min="86" max="86" width="20.1796875" bestFit="1" customWidth="1"/>
    <col min="87" max="87" width="22.453125" bestFit="1" customWidth="1"/>
    <col min="88" max="88" width="15" bestFit="1" customWidth="1"/>
    <col min="89" max="89" width="32.7265625" bestFit="1" customWidth="1"/>
    <col min="90" max="90" width="22.1796875" bestFit="1" customWidth="1"/>
    <col min="91" max="91" width="21.7265625" bestFit="1" customWidth="1"/>
    <col min="92" max="92" width="19.1796875" bestFit="1" customWidth="1"/>
    <col min="93" max="93" width="18.7265625" bestFit="1" customWidth="1"/>
    <col min="94" max="94" width="41.1796875" bestFit="1" customWidth="1"/>
    <col min="95" max="95" width="27" bestFit="1" customWidth="1"/>
    <col min="96" max="96" width="16.54296875" bestFit="1" customWidth="1"/>
    <col min="97" max="97" width="23.1796875" bestFit="1" customWidth="1"/>
    <col min="98" max="98" width="19" bestFit="1" customWidth="1"/>
    <col min="99" max="99" width="30" bestFit="1" customWidth="1"/>
    <col min="100" max="101" width="31.54296875" bestFit="1" customWidth="1"/>
    <col min="102" max="102" width="15.1796875" bestFit="1" customWidth="1"/>
    <col min="103" max="103" width="10.81640625" bestFit="1" customWidth="1"/>
    <col min="105" max="105" width="14.7265625" bestFit="1" customWidth="1"/>
    <col min="106" max="106" width="15.1796875" bestFit="1" customWidth="1"/>
  </cols>
  <sheetData>
    <row r="2" spans="3:106" s="63" customFormat="1" x14ac:dyDescent="0.35">
      <c r="C2" s="63" t="s">
        <v>263</v>
      </c>
      <c r="D2" s="63" t="s">
        <v>26</v>
      </c>
      <c r="E2" s="63" t="s">
        <v>29</v>
      </c>
      <c r="F2" s="63" t="s">
        <v>31</v>
      </c>
      <c r="G2" s="63" t="s">
        <v>34</v>
      </c>
      <c r="H2" s="63" t="s">
        <v>36</v>
      </c>
      <c r="I2" s="63" t="s">
        <v>40</v>
      </c>
      <c r="J2" s="63" t="s">
        <v>42</v>
      </c>
      <c r="K2" s="63" t="s">
        <v>44</v>
      </c>
      <c r="L2" s="63" t="s">
        <v>46</v>
      </c>
      <c r="M2" s="63" t="s">
        <v>50</v>
      </c>
      <c r="N2" s="63" t="s">
        <v>52</v>
      </c>
      <c r="O2" s="63" t="s">
        <v>55</v>
      </c>
      <c r="P2" s="63" t="s">
        <v>58</v>
      </c>
      <c r="Q2" s="63" t="s">
        <v>60</v>
      </c>
      <c r="R2" s="63" t="s">
        <v>62</v>
      </c>
      <c r="S2" s="63" t="s">
        <v>63</v>
      </c>
      <c r="T2" s="63" t="s">
        <v>64</v>
      </c>
      <c r="U2" s="63" t="s">
        <v>66</v>
      </c>
      <c r="V2" s="63" t="s">
        <v>68</v>
      </c>
      <c r="W2" s="63" t="s">
        <v>69</v>
      </c>
      <c r="X2" s="63" t="s">
        <v>70</v>
      </c>
      <c r="Y2" s="63" t="s">
        <v>71</v>
      </c>
      <c r="Z2" s="63" t="s">
        <v>73</v>
      </c>
      <c r="AA2" s="63" t="s">
        <v>77</v>
      </c>
      <c r="AB2" s="63" t="s">
        <v>80</v>
      </c>
      <c r="AC2" s="63" t="s">
        <v>81</v>
      </c>
      <c r="AD2" s="63" t="s">
        <v>83</v>
      </c>
      <c r="AE2" s="63" t="s">
        <v>85</v>
      </c>
      <c r="AF2" s="63" t="s">
        <v>87</v>
      </c>
      <c r="AG2" s="63" t="s">
        <v>89</v>
      </c>
      <c r="AH2" s="63" t="s">
        <v>92</v>
      </c>
      <c r="AI2" s="63" t="s">
        <v>94</v>
      </c>
      <c r="AJ2" s="63" t="s">
        <v>97</v>
      </c>
      <c r="AK2" s="63" t="s">
        <v>99</v>
      </c>
      <c r="AL2" s="63" t="s">
        <v>101</v>
      </c>
      <c r="AM2" s="63" t="s">
        <v>104</v>
      </c>
      <c r="AN2" s="63" t="s">
        <v>105</v>
      </c>
      <c r="AO2" s="63" t="s">
        <v>107</v>
      </c>
      <c r="AP2" s="63" t="s">
        <v>108</v>
      </c>
      <c r="AQ2" s="63" t="s">
        <v>109</v>
      </c>
      <c r="AR2" s="63" t="s">
        <v>111</v>
      </c>
      <c r="AS2" s="63" t="s">
        <v>115</v>
      </c>
      <c r="AT2" s="63" t="s">
        <v>116</v>
      </c>
      <c r="AU2" s="63" t="s">
        <v>117</v>
      </c>
      <c r="AV2" s="63" t="s">
        <v>119</v>
      </c>
      <c r="AW2" s="63" t="s">
        <v>122</v>
      </c>
      <c r="AX2" s="63" t="s">
        <v>123</v>
      </c>
      <c r="AY2" s="63" t="s">
        <v>124</v>
      </c>
      <c r="AZ2" s="63" t="s">
        <v>126</v>
      </c>
      <c r="BA2" s="63" t="s">
        <v>127</v>
      </c>
      <c r="BB2" s="63" t="s">
        <v>129</v>
      </c>
      <c r="BC2" s="63" t="s">
        <v>132</v>
      </c>
      <c r="BD2" s="63" t="s">
        <v>134</v>
      </c>
      <c r="BE2" s="63" t="s">
        <v>137</v>
      </c>
      <c r="BF2" s="63" t="s">
        <v>138</v>
      </c>
      <c r="BG2" s="63" t="s">
        <v>140</v>
      </c>
      <c r="BH2" s="63" t="s">
        <v>143</v>
      </c>
      <c r="BI2" s="63" t="s">
        <v>145</v>
      </c>
      <c r="BJ2" s="63" t="s">
        <v>147</v>
      </c>
      <c r="BK2" s="63" t="s">
        <v>149</v>
      </c>
      <c r="BL2" s="63" t="s">
        <v>151</v>
      </c>
      <c r="BM2" s="63" t="s">
        <v>154</v>
      </c>
      <c r="BN2" s="63" t="s">
        <v>157</v>
      </c>
      <c r="BO2" s="63" t="s">
        <v>160</v>
      </c>
      <c r="BP2" s="63" t="s">
        <v>164</v>
      </c>
      <c r="BQ2" s="63" t="s">
        <v>167</v>
      </c>
      <c r="BR2" s="63" t="s">
        <v>170</v>
      </c>
      <c r="BS2" s="63" t="s">
        <v>173</v>
      </c>
      <c r="BT2" s="63" t="s">
        <v>175</v>
      </c>
      <c r="BU2" s="63" t="s">
        <v>178</v>
      </c>
      <c r="BV2" s="63" t="s">
        <v>181</v>
      </c>
      <c r="BW2" s="63" t="s">
        <v>182</v>
      </c>
      <c r="BX2" s="63" t="s">
        <v>184</v>
      </c>
      <c r="BY2" s="63" t="s">
        <v>186</v>
      </c>
      <c r="BZ2" s="63" t="s">
        <v>188</v>
      </c>
      <c r="CA2" s="63" t="s">
        <v>190</v>
      </c>
      <c r="CB2" s="63" t="s">
        <v>192</v>
      </c>
      <c r="CC2" s="63" t="s">
        <v>194</v>
      </c>
      <c r="CD2" s="63" t="s">
        <v>196</v>
      </c>
      <c r="CE2" s="63" t="s">
        <v>199</v>
      </c>
      <c r="CF2" s="63" t="s">
        <v>203</v>
      </c>
      <c r="CG2" s="63" t="s">
        <v>205</v>
      </c>
      <c r="CH2" s="63" t="s">
        <v>208</v>
      </c>
      <c r="CI2" s="63" t="s">
        <v>210</v>
      </c>
      <c r="CJ2" s="63" t="s">
        <v>213</v>
      </c>
      <c r="CK2" s="63" t="s">
        <v>216</v>
      </c>
      <c r="CL2" s="63" t="s">
        <v>219</v>
      </c>
      <c r="CM2" s="63" t="s">
        <v>221</v>
      </c>
      <c r="CN2" s="63" t="s">
        <v>223</v>
      </c>
      <c r="CO2" s="63" t="s">
        <v>225</v>
      </c>
      <c r="CP2" s="64" t="s">
        <v>227</v>
      </c>
      <c r="CQ2" s="64" t="s">
        <v>230</v>
      </c>
      <c r="CR2" s="63" t="s">
        <v>233</v>
      </c>
      <c r="CS2" s="63" t="s">
        <v>236</v>
      </c>
      <c r="CT2" s="63" t="s">
        <v>240</v>
      </c>
      <c r="CU2" s="63" t="s">
        <v>243</v>
      </c>
      <c r="CV2" s="63" t="s">
        <v>247</v>
      </c>
      <c r="CW2" s="64" t="s">
        <v>250</v>
      </c>
      <c r="CX2" s="64" t="s">
        <v>253</v>
      </c>
      <c r="CY2" s="63" t="s">
        <v>257</v>
      </c>
    </row>
    <row r="3" spans="3:106" x14ac:dyDescent="0.35">
      <c r="C3" s="63" t="s">
        <v>264</v>
      </c>
      <c r="D3" s="61">
        <f>((D18-D$30)/D$30*D$31+1)*$B$18/SUM($B$18:$B$29)</f>
        <v>9.9091146332417557E-2</v>
      </c>
      <c r="E3" s="61">
        <f t="shared" ref="E3:H3" si="0">((E18-E$30)/E$30*E$31+1)*$B$18/SUM($B$18:$B$29)</f>
        <v>9.9091146332417557E-2</v>
      </c>
      <c r="F3" s="61">
        <f t="shared" si="0"/>
        <v>0.13345107673695134</v>
      </c>
      <c r="G3" s="61">
        <f t="shared" si="0"/>
        <v>0.13244948256939298</v>
      </c>
      <c r="H3" s="61">
        <f t="shared" si="0"/>
        <v>0.11698000324119512</v>
      </c>
      <c r="I3" s="61">
        <f t="shared" ref="I3:BT3" si="1">((I18-I$30)/I$30*I$31+1)*$B$18/SUM($B$18:$B$29)</f>
        <v>0.11698000324119512</v>
      </c>
      <c r="J3" s="61">
        <f t="shared" si="1"/>
        <v>0.11698000324119512</v>
      </c>
      <c r="K3" s="61">
        <f t="shared" si="1"/>
        <v>0.11698000324119512</v>
      </c>
      <c r="L3" s="61">
        <f t="shared" si="1"/>
        <v>0.11012116383758098</v>
      </c>
      <c r="M3" s="61">
        <f t="shared" si="1"/>
        <v>0.11012116383758098</v>
      </c>
      <c r="N3" s="61">
        <f t="shared" si="1"/>
        <v>0.11198605737550324</v>
      </c>
      <c r="O3" s="61">
        <f t="shared" si="1"/>
        <v>0.12173647592374194</v>
      </c>
      <c r="P3" s="61">
        <f t="shared" si="1"/>
        <v>0.10213549063627551</v>
      </c>
      <c r="Q3" s="61">
        <f t="shared" si="1"/>
        <v>0.13008864501978948</v>
      </c>
      <c r="R3" s="61">
        <f t="shared" si="1"/>
        <v>0.12454124316363419</v>
      </c>
      <c r="S3" s="61">
        <f t="shared" si="1"/>
        <v>0.12454124316363419</v>
      </c>
      <c r="T3" s="61">
        <f t="shared" si="1"/>
        <v>0.12454124316363419</v>
      </c>
      <c r="U3" s="61">
        <f t="shared" si="1"/>
        <v>0.1172870373807689</v>
      </c>
      <c r="V3" s="61">
        <f t="shared" si="1"/>
        <v>0.11944949454859073</v>
      </c>
      <c r="W3" s="61">
        <f t="shared" si="1"/>
        <v>0.11944949454859073</v>
      </c>
      <c r="X3" s="61">
        <f t="shared" si="1"/>
        <v>0.11944949454859073</v>
      </c>
      <c r="Y3" s="61">
        <f t="shared" si="1"/>
        <v>0.11944949454859073</v>
      </c>
      <c r="Z3" s="61">
        <f t="shared" si="1"/>
        <v>0.12449564703250651</v>
      </c>
      <c r="AA3" s="61">
        <f t="shared" si="1"/>
        <v>0.1169966662253641</v>
      </c>
      <c r="AB3" s="61">
        <f t="shared" si="1"/>
        <v>0.1169966662253641</v>
      </c>
      <c r="AC3" s="61">
        <f t="shared" si="1"/>
        <v>0.1169966662253641</v>
      </c>
      <c r="AD3" s="61">
        <f t="shared" si="1"/>
        <v>0.1169966662253641</v>
      </c>
      <c r="AE3" s="61">
        <f t="shared" si="1"/>
        <v>0.12329751670039017</v>
      </c>
      <c r="AF3" s="61">
        <f t="shared" si="1"/>
        <v>0.12329751670039017</v>
      </c>
      <c r="AG3" s="61">
        <f t="shared" si="1"/>
        <v>0.12067123389621624</v>
      </c>
      <c r="AH3" s="61">
        <f t="shared" si="1"/>
        <v>0.12067123389621624</v>
      </c>
      <c r="AI3" s="61">
        <f t="shared" si="1"/>
        <v>0.10170613057982641</v>
      </c>
      <c r="AJ3" s="61">
        <f t="shared" si="1"/>
        <v>0.13389671127898606</v>
      </c>
      <c r="AK3" s="61">
        <f t="shared" si="1"/>
        <v>0.12690032374778434</v>
      </c>
      <c r="AL3" s="61">
        <f t="shared" si="1"/>
        <v>0.1217305758087527</v>
      </c>
      <c r="AM3" s="61">
        <f t="shared" si="1"/>
        <v>0.11971455131915285</v>
      </c>
      <c r="AN3" s="61">
        <f t="shared" si="1"/>
        <v>0.11971455131915285</v>
      </c>
      <c r="AO3" s="61">
        <f t="shared" si="1"/>
        <v>0.11898842960977334</v>
      </c>
      <c r="AP3" s="61">
        <f t="shared" si="1"/>
        <v>0.11898842960977334</v>
      </c>
      <c r="AQ3" s="61">
        <f t="shared" si="1"/>
        <v>0.11898842960977334</v>
      </c>
      <c r="AR3" s="61">
        <f t="shared" si="1"/>
        <v>0.10404364126786006</v>
      </c>
      <c r="AS3" s="61">
        <f t="shared" si="1"/>
        <v>0.11724499098530672</v>
      </c>
      <c r="AT3" s="61">
        <f t="shared" si="1"/>
        <v>0.11724499098530672</v>
      </c>
      <c r="AU3" s="61">
        <f t="shared" si="1"/>
        <v>0.11724499098530672</v>
      </c>
      <c r="AV3" s="61">
        <f t="shared" si="1"/>
        <v>0.11930113531569352</v>
      </c>
      <c r="AW3" s="61">
        <f t="shared" si="1"/>
        <v>0.12255342589016294</v>
      </c>
      <c r="AX3" s="61">
        <f t="shared" si="1"/>
        <v>0.12255342589016294</v>
      </c>
      <c r="AY3" s="61">
        <f t="shared" si="1"/>
        <v>0.12255342589016294</v>
      </c>
      <c r="AZ3" s="61">
        <f t="shared" si="1"/>
        <v>0.11040506281724705</v>
      </c>
      <c r="BA3" s="61">
        <f t="shared" si="1"/>
        <v>0.11040506281724705</v>
      </c>
      <c r="BB3" s="61">
        <f t="shared" si="1"/>
        <v>0.11966860723307968</v>
      </c>
      <c r="BC3" s="61">
        <f t="shared" si="1"/>
        <v>0.11928637769019849</v>
      </c>
      <c r="BD3" s="61">
        <f t="shared" si="1"/>
        <v>0.13056037726302303</v>
      </c>
      <c r="BE3" s="61">
        <f t="shared" si="1"/>
        <v>0.11635956591696528</v>
      </c>
      <c r="BF3" s="61">
        <f t="shared" si="1"/>
        <v>0.11635956591696528</v>
      </c>
      <c r="BG3" s="61">
        <f t="shared" si="1"/>
        <v>0.11099302479278085</v>
      </c>
      <c r="BH3" s="61">
        <f t="shared" si="1"/>
        <v>0.12041356397380823</v>
      </c>
      <c r="BI3" s="61">
        <f t="shared" si="1"/>
        <v>0.12041356397380823</v>
      </c>
      <c r="BJ3" s="61">
        <f t="shared" si="1"/>
        <v>0.11489899083468355</v>
      </c>
      <c r="BK3" s="61">
        <f t="shared" si="1"/>
        <v>0.11489899083468355</v>
      </c>
      <c r="BL3" s="61">
        <f t="shared" si="1"/>
        <v>0.11791840927110182</v>
      </c>
      <c r="BM3" s="61">
        <f t="shared" si="1"/>
        <v>0.1184672014332209</v>
      </c>
      <c r="BN3" s="61">
        <f t="shared" si="1"/>
        <v>0.11531342052991835</v>
      </c>
      <c r="BO3" s="61">
        <f t="shared" si="1"/>
        <v>0.10890902447401696</v>
      </c>
      <c r="BP3" s="61">
        <f t="shared" si="1"/>
        <v>0.12033052412210961</v>
      </c>
      <c r="BQ3" s="61">
        <f t="shared" si="1"/>
        <v>0.12033052412210961</v>
      </c>
      <c r="BR3" s="61">
        <f t="shared" si="1"/>
        <v>0.11525324368783715</v>
      </c>
      <c r="BS3" s="61">
        <f t="shared" si="1"/>
        <v>0.11499771460541466</v>
      </c>
      <c r="BT3" s="61">
        <f t="shared" si="1"/>
        <v>0.12316185099967983</v>
      </c>
      <c r="BU3" s="61">
        <f t="shared" ref="BU3:CV3" si="2">((BU18-BU$30)/BU$30*BU$31+1)*$B$18/SUM($B$18:$B$29)</f>
        <v>0.12562810061166149</v>
      </c>
      <c r="BV3" s="61">
        <f t="shared" si="2"/>
        <v>0.12131774513605761</v>
      </c>
      <c r="BW3" s="61">
        <f t="shared" si="2"/>
        <v>0.12131774513605761</v>
      </c>
      <c r="BX3" s="61">
        <f t="shared" si="2"/>
        <v>0.12357791977010436</v>
      </c>
      <c r="BY3" s="61">
        <f t="shared" si="2"/>
        <v>0.11797333178043679</v>
      </c>
      <c r="BZ3" s="61">
        <f t="shared" si="2"/>
        <v>0.10297583837481497</v>
      </c>
      <c r="CA3" s="61">
        <f t="shared" si="2"/>
        <v>0.1112006767266195</v>
      </c>
      <c r="CB3" s="61">
        <f t="shared" si="2"/>
        <v>0.11742038834974501</v>
      </c>
      <c r="CC3" s="61">
        <f t="shared" si="2"/>
        <v>0.10842432497235846</v>
      </c>
      <c r="CD3" s="61">
        <f t="shared" si="2"/>
        <v>0.11706304455871071</v>
      </c>
      <c r="CE3" s="61">
        <f t="shared" si="2"/>
        <v>0.11183898371981811</v>
      </c>
      <c r="CF3" s="61">
        <f t="shared" si="2"/>
        <v>0.11346199364373562</v>
      </c>
      <c r="CG3" s="61">
        <f t="shared" si="2"/>
        <v>0.11410445610411707</v>
      </c>
      <c r="CH3" s="61">
        <f t="shared" si="2"/>
        <v>0.11387884066695116</v>
      </c>
      <c r="CI3" s="61">
        <f t="shared" si="2"/>
        <v>0.11268026306911628</v>
      </c>
      <c r="CJ3" s="61">
        <f t="shared" si="2"/>
        <v>0.11226073286692009</v>
      </c>
      <c r="CK3" s="61">
        <f t="shared" si="2"/>
        <v>0.11644987756364346</v>
      </c>
      <c r="CL3" s="61">
        <f t="shared" si="2"/>
        <v>0.1195453028255587</v>
      </c>
      <c r="CM3" s="61">
        <f t="shared" si="2"/>
        <v>0.1195453028255587</v>
      </c>
      <c r="CN3" s="61">
        <f t="shared" si="2"/>
        <v>0.11040506281724705</v>
      </c>
      <c r="CO3" s="61">
        <f t="shared" si="2"/>
        <v>0.11040506281724705</v>
      </c>
      <c r="CP3" s="61">
        <v>5.5696136146110575E-2</v>
      </c>
      <c r="CQ3" s="61">
        <v>4.261023045157853E-2</v>
      </c>
      <c r="CR3" s="61" t="s">
        <v>47</v>
      </c>
      <c r="CS3" s="61">
        <f t="shared" si="2"/>
        <v>0.10969080379036815</v>
      </c>
      <c r="CT3" s="61">
        <f t="shared" si="2"/>
        <v>0.11102100489828549</v>
      </c>
      <c r="CU3" s="61">
        <f t="shared" si="2"/>
        <v>0.11720525984515456</v>
      </c>
      <c r="CV3" s="61">
        <f t="shared" si="2"/>
        <v>0.11280751134757566</v>
      </c>
      <c r="CW3" s="62">
        <v>3.2416566963706969E-2</v>
      </c>
      <c r="CX3" s="62">
        <v>3.9494189422117396E-2</v>
      </c>
      <c r="CY3" s="61">
        <f t="shared" ref="CY3" si="3">((CY18-CY$30)/CY$30*CY$31+1)*$B$18/SUM($B$18:$B$29)</f>
        <v>0.11503689179430239</v>
      </c>
      <c r="DA3" s="118"/>
      <c r="DB3" s="62"/>
    </row>
    <row r="4" spans="3:106" x14ac:dyDescent="0.35">
      <c r="C4" s="63" t="s">
        <v>265</v>
      </c>
      <c r="D4" s="61">
        <f>((D19-D$30)/D$30*D$31+1)*$B$19/SUM($B$18:$B$29)</f>
        <v>9.1334107654201857E-2</v>
      </c>
      <c r="E4" s="61">
        <f t="shared" ref="E4:H4" si="4">((E19-E$30)/E$30*E$31+1)*$B$19/SUM($B$18:$B$29)</f>
        <v>9.1334107654201857E-2</v>
      </c>
      <c r="F4" s="61">
        <f t="shared" si="4"/>
        <v>0.10497472084552976</v>
      </c>
      <c r="G4" s="61">
        <f t="shared" si="4"/>
        <v>0.10413734940319484</v>
      </c>
      <c r="H4" s="61">
        <f t="shared" si="4"/>
        <v>0.10144003327880506</v>
      </c>
      <c r="I4" s="61">
        <f t="shared" ref="I4:BT4" si="5">((I19-I$30)/I$30*I$31+1)*$B$19/SUM($B$18:$B$29)</f>
        <v>0.10144003327880506</v>
      </c>
      <c r="J4" s="61">
        <f t="shared" si="5"/>
        <v>0.10144003327880506</v>
      </c>
      <c r="K4" s="61">
        <f t="shared" si="5"/>
        <v>0.10144003327880506</v>
      </c>
      <c r="L4" s="61">
        <f t="shared" si="5"/>
        <v>9.8618006241504227E-2</v>
      </c>
      <c r="M4" s="61">
        <f t="shared" si="5"/>
        <v>9.8618006241504227E-2</v>
      </c>
      <c r="N4" s="61">
        <f t="shared" si="5"/>
        <v>0.10018936067085249</v>
      </c>
      <c r="O4" s="61">
        <f t="shared" si="5"/>
        <v>0.10079069782794292</v>
      </c>
      <c r="P4" s="61">
        <f t="shared" si="5"/>
        <v>9.2876202551516795E-2</v>
      </c>
      <c r="Q4" s="61">
        <f t="shared" si="5"/>
        <v>0.10290279473949007</v>
      </c>
      <c r="R4" s="61">
        <f t="shared" si="5"/>
        <v>0.10183364816393085</v>
      </c>
      <c r="S4" s="61">
        <f t="shared" si="5"/>
        <v>0.10183364816393085</v>
      </c>
      <c r="T4" s="61">
        <f t="shared" si="5"/>
        <v>0.10183364816393085</v>
      </c>
      <c r="U4" s="61">
        <f t="shared" si="5"/>
        <v>9.9779915943206565E-2</v>
      </c>
      <c r="V4" s="61">
        <f t="shared" si="5"/>
        <v>9.7447505132556719E-2</v>
      </c>
      <c r="W4" s="61">
        <f t="shared" si="5"/>
        <v>9.7447505132556719E-2</v>
      </c>
      <c r="X4" s="61">
        <f t="shared" si="5"/>
        <v>9.7447505132556719E-2</v>
      </c>
      <c r="Y4" s="61">
        <f t="shared" si="5"/>
        <v>9.7447505132556719E-2</v>
      </c>
      <c r="Z4" s="61">
        <f t="shared" si="5"/>
        <v>9.9690524802720754E-2</v>
      </c>
      <c r="AA4" s="61">
        <f t="shared" si="5"/>
        <v>9.9828953944531895E-2</v>
      </c>
      <c r="AB4" s="61">
        <f t="shared" si="5"/>
        <v>9.9828953944531895E-2</v>
      </c>
      <c r="AC4" s="61">
        <f t="shared" si="5"/>
        <v>9.9828953944531895E-2</v>
      </c>
      <c r="AD4" s="61">
        <f t="shared" si="5"/>
        <v>9.9828953944531895E-2</v>
      </c>
      <c r="AE4" s="61">
        <f t="shared" si="5"/>
        <v>9.9272203797246245E-2</v>
      </c>
      <c r="AF4" s="61">
        <f t="shared" si="5"/>
        <v>9.9272203797246245E-2</v>
      </c>
      <c r="AG4" s="61">
        <f t="shared" si="5"/>
        <v>9.9377895832002905E-2</v>
      </c>
      <c r="AH4" s="61">
        <f t="shared" si="5"/>
        <v>9.9377895832002905E-2</v>
      </c>
      <c r="AI4" s="61">
        <f t="shared" si="5"/>
        <v>9.4157583810123804E-2</v>
      </c>
      <c r="AJ4" s="61">
        <f t="shared" si="5"/>
        <v>0.10808291256424536</v>
      </c>
      <c r="AK4" s="61">
        <f t="shared" si="5"/>
        <v>0.10456028365957537</v>
      </c>
      <c r="AL4" s="61">
        <f t="shared" si="5"/>
        <v>9.9557666858361357E-2</v>
      </c>
      <c r="AM4" s="61">
        <f t="shared" si="5"/>
        <v>0.10144716273553056</v>
      </c>
      <c r="AN4" s="61">
        <f t="shared" si="5"/>
        <v>0.10144716273553056</v>
      </c>
      <c r="AO4" s="61">
        <f t="shared" si="5"/>
        <v>9.7944764849854177E-2</v>
      </c>
      <c r="AP4" s="61">
        <f t="shared" si="5"/>
        <v>9.7944764849854177E-2</v>
      </c>
      <c r="AQ4" s="61">
        <f t="shared" si="5"/>
        <v>9.7944764849854177E-2</v>
      </c>
      <c r="AR4" s="61">
        <f t="shared" si="5"/>
        <v>9.2659613365468838E-2</v>
      </c>
      <c r="AS4" s="61">
        <f t="shared" si="5"/>
        <v>9.8827041821481776E-2</v>
      </c>
      <c r="AT4" s="61">
        <f t="shared" si="5"/>
        <v>9.8827041821481776E-2</v>
      </c>
      <c r="AU4" s="61">
        <f t="shared" si="5"/>
        <v>9.8827041821481776E-2</v>
      </c>
      <c r="AV4" s="61">
        <f t="shared" si="5"/>
        <v>9.9171129872175384E-2</v>
      </c>
      <c r="AW4" s="61">
        <f t="shared" si="5"/>
        <v>0.10549979358729293</v>
      </c>
      <c r="AX4" s="61">
        <f t="shared" si="5"/>
        <v>0.10549979358729293</v>
      </c>
      <c r="AY4" s="61">
        <f t="shared" si="5"/>
        <v>0.10549979358729293</v>
      </c>
      <c r="AZ4" s="61">
        <f t="shared" si="5"/>
        <v>9.8273547633745018E-2</v>
      </c>
      <c r="BA4" s="61">
        <f t="shared" si="5"/>
        <v>9.8273547633745018E-2</v>
      </c>
      <c r="BB4" s="61">
        <f t="shared" si="5"/>
        <v>9.9178075980709449E-2</v>
      </c>
      <c r="BC4" s="61">
        <f t="shared" si="5"/>
        <v>9.8124681706739519E-2</v>
      </c>
      <c r="BD4" s="61">
        <f t="shared" si="5"/>
        <v>0.10467262104030484</v>
      </c>
      <c r="BE4" s="61">
        <f t="shared" si="5"/>
        <v>9.9455376971890816E-2</v>
      </c>
      <c r="BF4" s="61">
        <f t="shared" si="5"/>
        <v>9.9455376971890816E-2</v>
      </c>
      <c r="BG4" s="61">
        <f t="shared" si="5"/>
        <v>9.3444236773110187E-2</v>
      </c>
      <c r="BH4" s="61">
        <f t="shared" si="5"/>
        <v>9.775527236655196E-2</v>
      </c>
      <c r="BI4" s="61">
        <f t="shared" si="5"/>
        <v>9.775527236655196E-2</v>
      </c>
      <c r="BJ4" s="61">
        <f t="shared" si="5"/>
        <v>9.486679368199824E-2</v>
      </c>
      <c r="BK4" s="61">
        <f t="shared" si="5"/>
        <v>9.486679368199824E-2</v>
      </c>
      <c r="BL4" s="61">
        <f t="shared" si="5"/>
        <v>9.5851251672238263E-2</v>
      </c>
      <c r="BM4" s="61">
        <f t="shared" si="5"/>
        <v>9.7018375109243438E-2</v>
      </c>
      <c r="BN4" s="61">
        <f t="shared" si="5"/>
        <v>9.5448931919662999E-2</v>
      </c>
      <c r="BO4" s="61">
        <f t="shared" si="5"/>
        <v>9.7819110341165805E-2</v>
      </c>
      <c r="BP4" s="61">
        <f t="shared" si="5"/>
        <v>9.8012562880188142E-2</v>
      </c>
      <c r="BQ4" s="61">
        <f t="shared" si="5"/>
        <v>9.8012562880188142E-2</v>
      </c>
      <c r="BR4" s="61">
        <f t="shared" si="5"/>
        <v>9.8306397186680744E-2</v>
      </c>
      <c r="BS4" s="61">
        <f t="shared" si="5"/>
        <v>9.8237538757186604E-2</v>
      </c>
      <c r="BT4" s="61">
        <f t="shared" si="5"/>
        <v>0.10152535982972216</v>
      </c>
      <c r="BU4" s="61">
        <f t="shared" ref="BU4:CV4" si="6">((BU19-BU$30)/BU$30*BU$31+1)*$B$19/SUM($B$18:$B$29)</f>
        <v>0.10221710661915223</v>
      </c>
      <c r="BV4" s="61">
        <f t="shared" si="6"/>
        <v>9.895646874331003E-2</v>
      </c>
      <c r="BW4" s="61">
        <f t="shared" si="6"/>
        <v>9.895646874331003E-2</v>
      </c>
      <c r="BX4" s="61">
        <f t="shared" si="6"/>
        <v>0.10054380961059237</v>
      </c>
      <c r="BY4" s="61">
        <f t="shared" si="6"/>
        <v>9.8303243857378667E-2</v>
      </c>
      <c r="BZ4" s="61">
        <f t="shared" si="6"/>
        <v>9.6663718510206179E-2</v>
      </c>
      <c r="CA4" s="61">
        <f t="shared" si="6"/>
        <v>9.5472018291414024E-2</v>
      </c>
      <c r="CB4" s="61">
        <f t="shared" si="6"/>
        <v>9.8151150289542563E-2</v>
      </c>
      <c r="CC4" s="61">
        <f t="shared" si="6"/>
        <v>9.4807489850496168E-2</v>
      </c>
      <c r="CD4" s="61">
        <f t="shared" si="6"/>
        <v>9.7378993305087633E-2</v>
      </c>
      <c r="CE4" s="61">
        <f t="shared" si="6"/>
        <v>9.4274903787808742E-2</v>
      </c>
      <c r="CF4" s="61">
        <f t="shared" si="6"/>
        <v>0.10351769642523521</v>
      </c>
      <c r="CG4" s="61">
        <f t="shared" si="6"/>
        <v>9.5769680771860863E-2</v>
      </c>
      <c r="CH4" s="61">
        <f t="shared" si="6"/>
        <v>9.59568186240701E-2</v>
      </c>
      <c r="CI4" s="61">
        <f t="shared" si="6"/>
        <v>9.4025478486316871E-2</v>
      </c>
      <c r="CJ4" s="61">
        <f t="shared" si="6"/>
        <v>9.3071848520346681E-2</v>
      </c>
      <c r="CK4" s="61">
        <f t="shared" si="6"/>
        <v>9.560887525725062E-2</v>
      </c>
      <c r="CL4" s="61">
        <f t="shared" si="6"/>
        <v>9.7454737234466002E-2</v>
      </c>
      <c r="CM4" s="61">
        <f t="shared" si="6"/>
        <v>9.7454737234466002E-2</v>
      </c>
      <c r="CN4" s="61">
        <f t="shared" si="6"/>
        <v>9.8273547633745018E-2</v>
      </c>
      <c r="CO4" s="61">
        <f t="shared" si="6"/>
        <v>9.8273547633745018E-2</v>
      </c>
      <c r="CP4" s="61">
        <v>6.3103932031833856E-2</v>
      </c>
      <c r="CQ4" s="61">
        <v>5.6996802983881718E-2</v>
      </c>
      <c r="CR4" s="61" t="s">
        <v>47</v>
      </c>
      <c r="CS4" s="61">
        <f t="shared" si="6"/>
        <v>9.8255385988577706E-2</v>
      </c>
      <c r="CT4" s="61">
        <f t="shared" si="6"/>
        <v>9.3615388684785944E-2</v>
      </c>
      <c r="CU4" s="61">
        <f t="shared" si="6"/>
        <v>9.6513618543531479E-2</v>
      </c>
      <c r="CV4" s="61">
        <f t="shared" si="6"/>
        <v>9.2994377507510467E-2</v>
      </c>
      <c r="CW4" s="62">
        <v>4.9879059600240007E-2</v>
      </c>
      <c r="CX4" s="62">
        <v>5.7111104055157402E-2</v>
      </c>
      <c r="CY4" s="61">
        <f t="shared" ref="CY4" si="7">((CY19-CY$30)/CY$30*CY$31+1)*$B$19/SUM($B$18:$B$29)</f>
        <v>0.10173897636763184</v>
      </c>
      <c r="DA4" s="118"/>
      <c r="DB4" s="62"/>
    </row>
    <row r="5" spans="3:106" x14ac:dyDescent="0.35">
      <c r="C5" s="63" t="s">
        <v>266</v>
      </c>
      <c r="D5" s="61">
        <f>((D20-D$30)/D$30*D$31+1)*$B$20/SUM($B$18:$B$29)</f>
        <v>0.10236957365123119</v>
      </c>
      <c r="E5" s="61">
        <f t="shared" ref="E5:H5" si="8">((E20-E$30)/E$30*E$31+1)*$B$20/SUM($B$18:$B$29)</f>
        <v>0.10236957365123119</v>
      </c>
      <c r="F5" s="61">
        <f t="shared" si="8"/>
        <v>9.5629735216937226E-2</v>
      </c>
      <c r="G5" s="61">
        <f t="shared" si="8"/>
        <v>9.5103861202950099E-2</v>
      </c>
      <c r="H5" s="61">
        <f t="shared" si="8"/>
        <v>0.10197467640815142</v>
      </c>
      <c r="I5" s="61">
        <f t="shared" ref="I5:BT5" si="9">((I20-I$30)/I$30*I$31+1)*$B$20/SUM($B$18:$B$29)</f>
        <v>0.10197467640815142</v>
      </c>
      <c r="J5" s="61">
        <f t="shared" si="9"/>
        <v>0.10197467640815142</v>
      </c>
      <c r="K5" s="61">
        <f t="shared" si="9"/>
        <v>0.10197467640815142</v>
      </c>
      <c r="L5" s="61">
        <f t="shared" si="9"/>
        <v>9.7075766433405861E-2</v>
      </c>
      <c r="M5" s="61">
        <f t="shared" si="9"/>
        <v>9.7075766433405861E-2</v>
      </c>
      <c r="N5" s="61">
        <f t="shared" si="9"/>
        <v>9.7977079481246995E-2</v>
      </c>
      <c r="O5" s="61">
        <f t="shared" si="9"/>
        <v>9.3172807652354653E-2</v>
      </c>
      <c r="P5" s="61">
        <f t="shared" si="9"/>
        <v>9.5224499711351121E-2</v>
      </c>
      <c r="Q5" s="61">
        <f t="shared" si="9"/>
        <v>9.4418615794602562E-2</v>
      </c>
      <c r="R5" s="61">
        <f t="shared" si="9"/>
        <v>9.5697310309500419E-2</v>
      </c>
      <c r="S5" s="61">
        <f t="shared" si="9"/>
        <v>9.5697310309500419E-2</v>
      </c>
      <c r="T5" s="61">
        <f t="shared" si="9"/>
        <v>9.5697310309500419E-2</v>
      </c>
      <c r="U5" s="61">
        <f t="shared" si="9"/>
        <v>9.5660085228524039E-2</v>
      </c>
      <c r="V5" s="61">
        <f t="shared" si="9"/>
        <v>9.2316704906836342E-2</v>
      </c>
      <c r="W5" s="61">
        <f t="shared" si="9"/>
        <v>9.2316704906836342E-2</v>
      </c>
      <c r="X5" s="61">
        <f t="shared" si="9"/>
        <v>9.2316704906836342E-2</v>
      </c>
      <c r="Y5" s="61">
        <f t="shared" si="9"/>
        <v>9.2316704906836342E-2</v>
      </c>
      <c r="Z5" s="61">
        <f t="shared" si="9"/>
        <v>9.4620272916568285E-2</v>
      </c>
      <c r="AA5" s="61">
        <f t="shared" si="9"/>
        <v>9.7500890699765391E-2</v>
      </c>
      <c r="AB5" s="61">
        <f t="shared" si="9"/>
        <v>9.7500890699765391E-2</v>
      </c>
      <c r="AC5" s="61">
        <f t="shared" si="9"/>
        <v>9.7500890699765391E-2</v>
      </c>
      <c r="AD5" s="61">
        <f t="shared" si="9"/>
        <v>9.7500890699765391E-2</v>
      </c>
      <c r="AE5" s="61">
        <f t="shared" si="9"/>
        <v>9.4468622260908394E-2</v>
      </c>
      <c r="AF5" s="61">
        <f t="shared" si="9"/>
        <v>9.4468622260908394E-2</v>
      </c>
      <c r="AG5" s="61">
        <f t="shared" si="9"/>
        <v>9.4977265241617093E-2</v>
      </c>
      <c r="AH5" s="61">
        <f t="shared" si="9"/>
        <v>9.4977265241617093E-2</v>
      </c>
      <c r="AI5" s="61">
        <f t="shared" si="9"/>
        <v>0.10515623346001457</v>
      </c>
      <c r="AJ5" s="61">
        <f t="shared" si="9"/>
        <v>9.7149596275195996E-2</v>
      </c>
      <c r="AK5" s="61">
        <f t="shared" si="9"/>
        <v>9.7081002825674723E-2</v>
      </c>
      <c r="AL5" s="61">
        <f t="shared" si="9"/>
        <v>9.9400231377351711E-2</v>
      </c>
      <c r="AM5" s="61">
        <f t="shared" si="9"/>
        <v>9.7214258620189273E-2</v>
      </c>
      <c r="AN5" s="61">
        <f t="shared" si="9"/>
        <v>9.7214258620189273E-2</v>
      </c>
      <c r="AO5" s="61">
        <f t="shared" si="9"/>
        <v>9.6796149144010524E-2</v>
      </c>
      <c r="AP5" s="61">
        <f t="shared" si="9"/>
        <v>9.6796149144010524E-2</v>
      </c>
      <c r="AQ5" s="61">
        <f t="shared" si="9"/>
        <v>9.6796149144010524E-2</v>
      </c>
      <c r="AR5" s="61">
        <f t="shared" si="9"/>
        <v>0.103675215469515</v>
      </c>
      <c r="AS5" s="61">
        <f t="shared" si="9"/>
        <v>0.10067926411661551</v>
      </c>
      <c r="AT5" s="61">
        <f t="shared" si="9"/>
        <v>0.10067926411661551</v>
      </c>
      <c r="AU5" s="61">
        <f t="shared" si="9"/>
        <v>0.10067926411661551</v>
      </c>
      <c r="AV5" s="61">
        <f t="shared" si="9"/>
        <v>9.6406565137822975E-2</v>
      </c>
      <c r="AW5" s="61">
        <f t="shared" si="9"/>
        <v>9.809461698699766E-2</v>
      </c>
      <c r="AX5" s="61">
        <f t="shared" si="9"/>
        <v>9.809461698699766E-2</v>
      </c>
      <c r="AY5" s="61">
        <f t="shared" si="9"/>
        <v>9.809461698699766E-2</v>
      </c>
      <c r="AZ5" s="61">
        <f t="shared" si="9"/>
        <v>9.8581722583489129E-2</v>
      </c>
      <c r="BA5" s="61">
        <f t="shared" si="9"/>
        <v>9.8581722583489129E-2</v>
      </c>
      <c r="BB5" s="61">
        <f t="shared" si="9"/>
        <v>9.6723465381665819E-2</v>
      </c>
      <c r="BC5" s="61">
        <f t="shared" si="9"/>
        <v>9.6900278181066543E-2</v>
      </c>
      <c r="BD5" s="61">
        <f t="shared" si="9"/>
        <v>9.4254821948420414E-2</v>
      </c>
      <c r="BE5" s="61">
        <f t="shared" si="9"/>
        <v>9.6644958020177404E-2</v>
      </c>
      <c r="BF5" s="61">
        <f t="shared" si="9"/>
        <v>9.6644958020177404E-2</v>
      </c>
      <c r="BG5" s="61">
        <f t="shared" si="9"/>
        <v>9.3050886639930719E-2</v>
      </c>
      <c r="BH5" s="61">
        <f t="shared" si="9"/>
        <v>9.3563167741645789E-2</v>
      </c>
      <c r="BI5" s="61">
        <f t="shared" si="9"/>
        <v>9.3563167741645789E-2</v>
      </c>
      <c r="BJ5" s="61">
        <f t="shared" si="9"/>
        <v>9.164148388673958E-2</v>
      </c>
      <c r="BK5" s="61">
        <f t="shared" si="9"/>
        <v>9.164148388673958E-2</v>
      </c>
      <c r="BL5" s="61">
        <f t="shared" si="9"/>
        <v>9.1947703251862967E-2</v>
      </c>
      <c r="BM5" s="61">
        <f t="shared" si="9"/>
        <v>9.3064477299780443E-2</v>
      </c>
      <c r="BN5" s="61">
        <f t="shared" si="9"/>
        <v>9.3280502911301494E-2</v>
      </c>
      <c r="BO5" s="61">
        <f t="shared" si="9"/>
        <v>9.7567695858269701E-2</v>
      </c>
      <c r="BP5" s="61">
        <f t="shared" si="9"/>
        <v>9.7559221746861713E-2</v>
      </c>
      <c r="BQ5" s="61">
        <f t="shared" si="9"/>
        <v>9.7559221746861713E-2</v>
      </c>
      <c r="BR5" s="61">
        <f t="shared" si="9"/>
        <v>9.4569768526187495E-2</v>
      </c>
      <c r="BS5" s="61">
        <f t="shared" si="9"/>
        <v>9.4664856845096554E-2</v>
      </c>
      <c r="BT5" s="61">
        <f t="shared" si="9"/>
        <v>9.2266958950324329E-2</v>
      </c>
      <c r="BU5" s="61">
        <f t="shared" ref="BU5:CV5" si="10">((BU20-BU$30)/BU$30*BU$31+1)*$B$20/SUM($B$18:$B$29)</f>
        <v>9.3753059291331528E-2</v>
      </c>
      <c r="BV5" s="61">
        <f t="shared" si="10"/>
        <v>9.361348316555132E-2</v>
      </c>
      <c r="BW5" s="61">
        <f t="shared" si="10"/>
        <v>9.361348316555132E-2</v>
      </c>
      <c r="BX5" s="61">
        <f t="shared" si="10"/>
        <v>9.4143841991262481E-2</v>
      </c>
      <c r="BY5" s="61">
        <f t="shared" si="10"/>
        <v>9.4179307350019864E-2</v>
      </c>
      <c r="BZ5" s="61">
        <f t="shared" si="10"/>
        <v>9.3814784168696569E-2</v>
      </c>
      <c r="CA5" s="61">
        <f t="shared" si="10"/>
        <v>9.8304241856556507E-2</v>
      </c>
      <c r="CB5" s="61">
        <f t="shared" si="10"/>
        <v>9.650314860002962E-2</v>
      </c>
      <c r="CC5" s="61">
        <f t="shared" si="10"/>
        <v>9.8478673447810153E-2</v>
      </c>
      <c r="CD5" s="61">
        <f t="shared" si="10"/>
        <v>9.8705277785123696E-2</v>
      </c>
      <c r="CE5" s="61">
        <f t="shared" si="10"/>
        <v>9.6954581294440068E-2</v>
      </c>
      <c r="CF5" s="61">
        <f t="shared" si="10"/>
        <v>0.10369919789996213</v>
      </c>
      <c r="CG5" s="61">
        <f t="shared" si="10"/>
        <v>9.8239208627043773E-2</v>
      </c>
      <c r="CH5" s="61">
        <f t="shared" si="10"/>
        <v>9.358984591846238E-2</v>
      </c>
      <c r="CI5" s="61">
        <f t="shared" si="10"/>
        <v>9.2630462733273536E-2</v>
      </c>
      <c r="CJ5" s="61">
        <f t="shared" si="10"/>
        <v>9.1724555518361742E-2</v>
      </c>
      <c r="CK5" s="61">
        <f t="shared" si="10"/>
        <v>9.1973776206918198E-2</v>
      </c>
      <c r="CL5" s="61">
        <f t="shared" si="10"/>
        <v>9.3924420267227166E-2</v>
      </c>
      <c r="CM5" s="61">
        <f t="shared" si="10"/>
        <v>9.3924420267227166E-2</v>
      </c>
      <c r="CN5" s="61">
        <f t="shared" si="10"/>
        <v>9.8581722583489129E-2</v>
      </c>
      <c r="CO5" s="61">
        <f t="shared" si="10"/>
        <v>9.8581722583489129E-2</v>
      </c>
      <c r="CP5" s="61">
        <v>8.9345885067719052E-2</v>
      </c>
      <c r="CQ5" s="61">
        <v>8.9316637804715604E-2</v>
      </c>
      <c r="CR5" s="61" t="s">
        <v>47</v>
      </c>
      <c r="CS5" s="61">
        <f t="shared" si="10"/>
        <v>9.686777111467329E-2</v>
      </c>
      <c r="CT5" s="61">
        <f t="shared" si="10"/>
        <v>9.5553045670970657E-2</v>
      </c>
      <c r="CU5" s="61">
        <f t="shared" si="10"/>
        <v>9.3509543026731506E-2</v>
      </c>
      <c r="CV5" s="61">
        <f t="shared" si="10"/>
        <v>9.53014869285322E-2</v>
      </c>
      <c r="CW5" s="62">
        <v>9.1471523306916644E-2</v>
      </c>
      <c r="CX5" s="62">
        <v>9.1115308899573644E-2</v>
      </c>
      <c r="CY5" s="61">
        <f t="shared" ref="CY5" si="11">((CY20-CY$30)/CY$30*CY$31+1)*$B$20/SUM($B$18:$B$29)</f>
        <v>9.8908622124154827E-2</v>
      </c>
      <c r="DA5" s="118"/>
      <c r="DB5" s="62"/>
    </row>
    <row r="6" spans="3:106" x14ac:dyDescent="0.35">
      <c r="C6" s="63" t="s">
        <v>267</v>
      </c>
      <c r="D6" s="61">
        <f>((D21-D$30)/D$30*D$31+1)*$B$21/SUM($B$18:$B$29)</f>
        <v>9.1910927237227713E-2</v>
      </c>
      <c r="E6" s="61">
        <f t="shared" ref="E6:H6" si="12">((E21-E$30)/E$30*E$31+1)*$B$21/SUM($B$18:$B$29)</f>
        <v>9.1910927237227713E-2</v>
      </c>
      <c r="F6" s="61">
        <f t="shared" si="12"/>
        <v>6.7039165365902334E-2</v>
      </c>
      <c r="G6" s="61">
        <f t="shared" si="12"/>
        <v>6.6683805870940013E-2</v>
      </c>
      <c r="H6" s="61">
        <f t="shared" si="12"/>
        <v>9.0802187957349401E-2</v>
      </c>
      <c r="I6" s="61">
        <f t="shared" ref="I6:BT6" si="13">((I21-I$30)/I$30*I$31+1)*$B$21/SUM($B$18:$B$29)</f>
        <v>9.0802187957349401E-2</v>
      </c>
      <c r="J6" s="61">
        <f t="shared" si="13"/>
        <v>9.0802187957349401E-2</v>
      </c>
      <c r="K6" s="61">
        <f t="shared" si="13"/>
        <v>9.0802187957349401E-2</v>
      </c>
      <c r="L6" s="61">
        <f t="shared" si="13"/>
        <v>8.2809881000699345E-2</v>
      </c>
      <c r="M6" s="61">
        <f t="shared" si="13"/>
        <v>8.2809881000699345E-2</v>
      </c>
      <c r="N6" s="61">
        <f t="shared" si="13"/>
        <v>8.2859691489492363E-2</v>
      </c>
      <c r="O6" s="61">
        <f t="shared" si="13"/>
        <v>7.8856330138044578E-2</v>
      </c>
      <c r="P6" s="61">
        <f t="shared" si="13"/>
        <v>8.8163375078091424E-2</v>
      </c>
      <c r="Q6" s="61">
        <f t="shared" si="13"/>
        <v>6.7566382876743089E-2</v>
      </c>
      <c r="R6" s="61">
        <f t="shared" si="13"/>
        <v>7.2897081473012409E-2</v>
      </c>
      <c r="S6" s="61">
        <f t="shared" si="13"/>
        <v>7.2897081473012409E-2</v>
      </c>
      <c r="T6" s="61">
        <f t="shared" si="13"/>
        <v>7.2897081473012409E-2</v>
      </c>
      <c r="U6" s="61">
        <f t="shared" si="13"/>
        <v>7.9475465321736105E-2</v>
      </c>
      <c r="V6" s="61">
        <f t="shared" si="13"/>
        <v>7.1408351871088599E-2</v>
      </c>
      <c r="W6" s="61">
        <f t="shared" si="13"/>
        <v>7.1408351871088599E-2</v>
      </c>
      <c r="X6" s="61">
        <f t="shared" si="13"/>
        <v>7.1408351871088599E-2</v>
      </c>
      <c r="Y6" s="61">
        <f t="shared" si="13"/>
        <v>7.1408351871088599E-2</v>
      </c>
      <c r="Z6" s="61">
        <f t="shared" si="13"/>
        <v>6.969613469177903E-2</v>
      </c>
      <c r="AA6" s="61">
        <f t="shared" si="13"/>
        <v>8.4617018633737509E-2</v>
      </c>
      <c r="AB6" s="61">
        <f t="shared" si="13"/>
        <v>8.4617018633737509E-2</v>
      </c>
      <c r="AC6" s="61">
        <f t="shared" si="13"/>
        <v>8.4617018633737509E-2</v>
      </c>
      <c r="AD6" s="61">
        <f t="shared" si="13"/>
        <v>8.4617018633737509E-2</v>
      </c>
      <c r="AE6" s="61">
        <f t="shared" si="13"/>
        <v>7.2029958019625376E-2</v>
      </c>
      <c r="AF6" s="61">
        <f t="shared" si="13"/>
        <v>7.2029958019625376E-2</v>
      </c>
      <c r="AG6" s="61">
        <f t="shared" si="13"/>
        <v>7.4397379129504851E-2</v>
      </c>
      <c r="AH6" s="61">
        <f t="shared" si="13"/>
        <v>7.4397379129504851E-2</v>
      </c>
      <c r="AI6" s="61">
        <f t="shared" si="13"/>
        <v>9.3156229327770401E-2</v>
      </c>
      <c r="AJ6" s="61">
        <f t="shared" si="13"/>
        <v>7.6207521059767372E-2</v>
      </c>
      <c r="AK6" s="61">
        <f t="shared" si="13"/>
        <v>8.0482567479377598E-2</v>
      </c>
      <c r="AL6" s="61">
        <f t="shared" si="13"/>
        <v>7.8869796977836568E-2</v>
      </c>
      <c r="AM6" s="61">
        <f t="shared" si="13"/>
        <v>8.1572703114926606E-2</v>
      </c>
      <c r="AN6" s="61">
        <f t="shared" si="13"/>
        <v>8.1572703114926606E-2</v>
      </c>
      <c r="AO6" s="61">
        <f t="shared" si="13"/>
        <v>8.0357773056715487E-2</v>
      </c>
      <c r="AP6" s="61">
        <f t="shared" si="13"/>
        <v>8.0357773056715487E-2</v>
      </c>
      <c r="AQ6" s="61">
        <f t="shared" si="13"/>
        <v>8.0357773056715487E-2</v>
      </c>
      <c r="AR6" s="61">
        <f t="shared" si="13"/>
        <v>9.8280742382932967E-2</v>
      </c>
      <c r="AS6" s="61">
        <f t="shared" si="13"/>
        <v>8.2879549654116438E-2</v>
      </c>
      <c r="AT6" s="61">
        <f t="shared" si="13"/>
        <v>8.2879549654116438E-2</v>
      </c>
      <c r="AU6" s="61">
        <f t="shared" si="13"/>
        <v>8.2879549654116438E-2</v>
      </c>
      <c r="AV6" s="61">
        <f t="shared" si="13"/>
        <v>7.8431058186057501E-2</v>
      </c>
      <c r="AW6" s="61">
        <f t="shared" si="13"/>
        <v>8.2011253302539083E-2</v>
      </c>
      <c r="AX6" s="61">
        <f t="shared" si="13"/>
        <v>8.2011253302539083E-2</v>
      </c>
      <c r="AY6" s="61">
        <f t="shared" si="13"/>
        <v>8.2011253302539083E-2</v>
      </c>
      <c r="AZ6" s="61">
        <f t="shared" si="13"/>
        <v>8.527845717152048E-2</v>
      </c>
      <c r="BA6" s="61">
        <f t="shared" si="13"/>
        <v>8.527845717152048E-2</v>
      </c>
      <c r="BB6" s="61">
        <f t="shared" si="13"/>
        <v>7.9821942693353951E-2</v>
      </c>
      <c r="BC6" s="61">
        <f t="shared" si="13"/>
        <v>8.0342246850975338E-2</v>
      </c>
      <c r="BD6" s="61">
        <f t="shared" si="13"/>
        <v>6.6568520547503923E-2</v>
      </c>
      <c r="BE6" s="61">
        <f t="shared" si="13"/>
        <v>8.2856267839198458E-2</v>
      </c>
      <c r="BF6" s="61">
        <f t="shared" si="13"/>
        <v>8.2856267839198458E-2</v>
      </c>
      <c r="BG6" s="61">
        <f t="shared" si="13"/>
        <v>7.7448529137105232E-2</v>
      </c>
      <c r="BH6" s="61">
        <f t="shared" si="13"/>
        <v>7.4217730064868051E-2</v>
      </c>
      <c r="BI6" s="61">
        <f t="shared" si="13"/>
        <v>7.4217730064868051E-2</v>
      </c>
      <c r="BJ6" s="61">
        <f t="shared" si="13"/>
        <v>7.4081045581525104E-2</v>
      </c>
      <c r="BK6" s="61">
        <f t="shared" si="13"/>
        <v>7.4081045581525104E-2</v>
      </c>
      <c r="BL6" s="61">
        <f t="shared" si="13"/>
        <v>7.3634791289467455E-2</v>
      </c>
      <c r="BM6" s="61">
        <f t="shared" si="13"/>
        <v>7.4351811378683672E-2</v>
      </c>
      <c r="BN6" s="61">
        <f t="shared" si="13"/>
        <v>7.5589869767804435E-2</v>
      </c>
      <c r="BO6" s="61">
        <f t="shared" si="13"/>
        <v>8.6076141941689846E-2</v>
      </c>
      <c r="BP6" s="61">
        <f t="shared" si="13"/>
        <v>7.8475352501817225E-2</v>
      </c>
      <c r="BQ6" s="61">
        <f t="shared" si="13"/>
        <v>7.8475352501817225E-2</v>
      </c>
      <c r="BR6" s="61">
        <f t="shared" si="13"/>
        <v>7.922380213596561E-2</v>
      </c>
      <c r="BS6" s="61">
        <f t="shared" si="13"/>
        <v>7.9428915989441767E-2</v>
      </c>
      <c r="BT6" s="61">
        <f t="shared" si="13"/>
        <v>7.3916488532393659E-2</v>
      </c>
      <c r="BU6" s="61">
        <f t="shared" ref="BU6:CV6" si="14">((BU21-BU$30)/BU$30*BU$31+1)*$B$21/SUM($B$18:$B$29)</f>
        <v>7.1653438514603318E-2</v>
      </c>
      <c r="BV6" s="61">
        <f t="shared" si="14"/>
        <v>7.2781030528475829E-2</v>
      </c>
      <c r="BW6" s="61">
        <f t="shared" si="14"/>
        <v>7.2781030528475829E-2</v>
      </c>
      <c r="BX6" s="61">
        <f t="shared" si="14"/>
        <v>7.1544618716387121E-2</v>
      </c>
      <c r="BY6" s="61">
        <f t="shared" si="14"/>
        <v>7.5093273123183354E-2</v>
      </c>
      <c r="BZ6" s="61">
        <f t="shared" si="14"/>
        <v>8.8960116817406093E-2</v>
      </c>
      <c r="CA6" s="61">
        <f t="shared" si="14"/>
        <v>8.3012976009238917E-2</v>
      </c>
      <c r="CB6" s="61">
        <f t="shared" si="14"/>
        <v>8.0290401271903511E-2</v>
      </c>
      <c r="CC6" s="61">
        <f t="shared" si="14"/>
        <v>8.5445504577140757E-2</v>
      </c>
      <c r="CD6" s="61">
        <f t="shared" si="14"/>
        <v>7.5899165521677747E-2</v>
      </c>
      <c r="CE6" s="61">
        <f t="shared" si="14"/>
        <v>7.7438265854721938E-2</v>
      </c>
      <c r="CF6" s="61">
        <f t="shared" si="14"/>
        <v>7.7016804425217328E-2</v>
      </c>
      <c r="CG6" s="61">
        <f t="shared" si="14"/>
        <v>7.7093043159336599E-2</v>
      </c>
      <c r="CH6" s="61">
        <f t="shared" si="14"/>
        <v>7.6419409741793107E-2</v>
      </c>
      <c r="CI6" s="61">
        <f t="shared" si="14"/>
        <v>7.5954809218074723E-2</v>
      </c>
      <c r="CJ6" s="61">
        <f t="shared" si="14"/>
        <v>7.6171306553818624E-2</v>
      </c>
      <c r="CK6" s="61">
        <f t="shared" si="14"/>
        <v>7.4362319335459517E-2</v>
      </c>
      <c r="CL6" s="61">
        <f t="shared" si="14"/>
        <v>7.4973194636542825E-2</v>
      </c>
      <c r="CM6" s="61">
        <f t="shared" si="14"/>
        <v>7.4973194636542825E-2</v>
      </c>
      <c r="CN6" s="61">
        <f t="shared" si="14"/>
        <v>8.527845717152048E-2</v>
      </c>
      <c r="CO6" s="61">
        <f t="shared" si="14"/>
        <v>8.527845717152048E-2</v>
      </c>
      <c r="CP6" s="61">
        <v>9.1306000970224593E-2</v>
      </c>
      <c r="CQ6" s="61">
        <v>9.8874383908352209E-2</v>
      </c>
      <c r="CR6" s="61" t="s">
        <v>47</v>
      </c>
      <c r="CS6" s="61">
        <f t="shared" si="14"/>
        <v>8.2798386272516331E-2</v>
      </c>
      <c r="CT6" s="61">
        <f t="shared" si="14"/>
        <v>7.8775142173839269E-2</v>
      </c>
      <c r="CU6" s="61">
        <f t="shared" si="14"/>
        <v>7.5150214489771813E-2</v>
      </c>
      <c r="CV6" s="61">
        <f t="shared" si="14"/>
        <v>6.8802492830988771E-2</v>
      </c>
      <c r="CW6" s="62">
        <v>0.1020834716093585</v>
      </c>
      <c r="CX6" s="62">
        <v>9.755238138437812E-2</v>
      </c>
      <c r="CY6" s="61">
        <f t="shared" ref="CY6" si="15">((CY21-CY$30)/CY$30*CY$31+1)*$B$21/SUM($B$18:$B$29)</f>
        <v>7.5051203429697649E-2</v>
      </c>
      <c r="DA6" s="118"/>
      <c r="DB6" s="62"/>
    </row>
    <row r="7" spans="3:106" x14ac:dyDescent="0.35">
      <c r="C7" s="63" t="s">
        <v>268</v>
      </c>
      <c r="D7" s="61">
        <f>((D22-D$30)/D$30*D$31+1)*$B$22/SUM($B$18:$B$29)</f>
        <v>8.8664268468822374E-2</v>
      </c>
      <c r="E7" s="61">
        <f t="shared" ref="E7:H7" si="16">((E22-E$30)/E$30*E$31+1)*$B$22/SUM($B$18:$B$29)</f>
        <v>8.8664268468822374E-2</v>
      </c>
      <c r="F7" s="61">
        <f t="shared" si="16"/>
        <v>6.3149243151783149E-2</v>
      </c>
      <c r="G7" s="61">
        <f t="shared" si="16"/>
        <v>6.3290924483387717E-2</v>
      </c>
      <c r="H7" s="61">
        <f t="shared" si="16"/>
        <v>7.3464555425368436E-2</v>
      </c>
      <c r="I7" s="61">
        <f t="shared" ref="I7:BT7" si="17">((I22-I$30)/I$30*I$31+1)*$B$22/SUM($B$18:$B$29)</f>
        <v>7.3464555425368436E-2</v>
      </c>
      <c r="J7" s="61">
        <f t="shared" si="17"/>
        <v>7.3464555425368436E-2</v>
      </c>
      <c r="K7" s="61">
        <f t="shared" si="17"/>
        <v>7.3464555425368436E-2</v>
      </c>
      <c r="L7" s="61">
        <f t="shared" si="17"/>
        <v>7.1746241500100297E-2</v>
      </c>
      <c r="M7" s="61">
        <f t="shared" si="17"/>
        <v>7.1746241500100297E-2</v>
      </c>
      <c r="N7" s="61">
        <f t="shared" si="17"/>
        <v>7.0776623729004076E-2</v>
      </c>
      <c r="O7" s="61">
        <f t="shared" si="17"/>
        <v>6.9161281775976705E-2</v>
      </c>
      <c r="P7" s="61">
        <f t="shared" si="17"/>
        <v>7.7571161489088158E-2</v>
      </c>
      <c r="Q7" s="61">
        <f t="shared" si="17"/>
        <v>6.4462966251324125E-2</v>
      </c>
      <c r="R7" s="61">
        <f t="shared" si="17"/>
        <v>6.9827557302193657E-2</v>
      </c>
      <c r="S7" s="61">
        <f t="shared" si="17"/>
        <v>6.9827557302193657E-2</v>
      </c>
      <c r="T7" s="61">
        <f t="shared" si="17"/>
        <v>6.9827557302193657E-2</v>
      </c>
      <c r="U7" s="61">
        <f t="shared" si="17"/>
        <v>7.3051441988213006E-2</v>
      </c>
      <c r="V7" s="61">
        <f t="shared" si="17"/>
        <v>6.8983399811291396E-2</v>
      </c>
      <c r="W7" s="61">
        <f t="shared" si="17"/>
        <v>6.8983399811291396E-2</v>
      </c>
      <c r="X7" s="61">
        <f t="shared" si="17"/>
        <v>6.8983399811291396E-2</v>
      </c>
      <c r="Y7" s="61">
        <f t="shared" si="17"/>
        <v>6.8983399811291396E-2</v>
      </c>
      <c r="Z7" s="61">
        <f t="shared" si="17"/>
        <v>6.8131276219313211E-2</v>
      </c>
      <c r="AA7" s="61">
        <f t="shared" si="17"/>
        <v>7.0885702540011197E-2</v>
      </c>
      <c r="AB7" s="61">
        <f t="shared" si="17"/>
        <v>7.0885702540011197E-2</v>
      </c>
      <c r="AC7" s="61">
        <f t="shared" si="17"/>
        <v>7.0885702540011197E-2</v>
      </c>
      <c r="AD7" s="61">
        <f t="shared" si="17"/>
        <v>7.0885702540011197E-2</v>
      </c>
      <c r="AE7" s="61">
        <f t="shared" si="17"/>
        <v>6.9335739929052481E-2</v>
      </c>
      <c r="AF7" s="61">
        <f t="shared" si="17"/>
        <v>6.9335739929052481E-2</v>
      </c>
      <c r="AG7" s="61">
        <f t="shared" si="17"/>
        <v>7.053944616568722E-2</v>
      </c>
      <c r="AH7" s="61">
        <f t="shared" si="17"/>
        <v>7.053944616568722E-2</v>
      </c>
      <c r="AI7" s="61">
        <f t="shared" si="17"/>
        <v>8.76900876290619E-2</v>
      </c>
      <c r="AJ7" s="61">
        <f t="shared" si="17"/>
        <v>6.3737988633288417E-2</v>
      </c>
      <c r="AK7" s="61">
        <f t="shared" si="17"/>
        <v>6.9834329198805903E-2</v>
      </c>
      <c r="AL7" s="61">
        <f t="shared" si="17"/>
        <v>6.6415742029998004E-2</v>
      </c>
      <c r="AM7" s="61">
        <f t="shared" si="17"/>
        <v>7.2342313447551168E-2</v>
      </c>
      <c r="AN7" s="61">
        <f t="shared" si="17"/>
        <v>7.2342313447551168E-2</v>
      </c>
      <c r="AO7" s="61">
        <f t="shared" si="17"/>
        <v>6.8307984232890043E-2</v>
      </c>
      <c r="AP7" s="61">
        <f t="shared" si="17"/>
        <v>6.8307984232890043E-2</v>
      </c>
      <c r="AQ7" s="61">
        <f t="shared" si="17"/>
        <v>6.8307984232890043E-2</v>
      </c>
      <c r="AR7" s="61">
        <f t="shared" si="17"/>
        <v>8.7986416889986568E-2</v>
      </c>
      <c r="AS7" s="61">
        <f t="shared" si="17"/>
        <v>6.8171754894061465E-2</v>
      </c>
      <c r="AT7" s="61">
        <f t="shared" si="17"/>
        <v>6.8171754894061465E-2</v>
      </c>
      <c r="AU7" s="61">
        <f t="shared" si="17"/>
        <v>6.8171754894061465E-2</v>
      </c>
      <c r="AV7" s="61">
        <f t="shared" si="17"/>
        <v>6.9539286767134251E-2</v>
      </c>
      <c r="AW7" s="61">
        <f t="shared" si="17"/>
        <v>6.8563561453786656E-2</v>
      </c>
      <c r="AX7" s="61">
        <f t="shared" si="17"/>
        <v>6.8563561453786656E-2</v>
      </c>
      <c r="AY7" s="61">
        <f t="shared" si="17"/>
        <v>6.8563561453786656E-2</v>
      </c>
      <c r="AZ7" s="61">
        <f t="shared" si="17"/>
        <v>7.3311837778796463E-2</v>
      </c>
      <c r="BA7" s="61">
        <f t="shared" si="17"/>
        <v>7.3311837778796463E-2</v>
      </c>
      <c r="BB7" s="61">
        <f t="shared" si="17"/>
        <v>6.9544574775733031E-2</v>
      </c>
      <c r="BC7" s="61">
        <f t="shared" si="17"/>
        <v>6.8163308336224498E-2</v>
      </c>
      <c r="BD7" s="61">
        <f t="shared" si="17"/>
        <v>6.6892000473023794E-2</v>
      </c>
      <c r="BE7" s="61">
        <f t="shared" si="17"/>
        <v>7.0530171027822136E-2</v>
      </c>
      <c r="BF7" s="61">
        <f t="shared" si="17"/>
        <v>7.0530171027822136E-2</v>
      </c>
      <c r="BG7" s="61">
        <f t="shared" si="17"/>
        <v>7.4225986462340132E-2</v>
      </c>
      <c r="BH7" s="61">
        <f t="shared" si="17"/>
        <v>6.8976023299167549E-2</v>
      </c>
      <c r="BI7" s="61">
        <f t="shared" si="17"/>
        <v>6.8976023299167549E-2</v>
      </c>
      <c r="BJ7" s="61">
        <f t="shared" si="17"/>
        <v>7.1456914508388203E-2</v>
      </c>
      <c r="BK7" s="61">
        <f t="shared" si="17"/>
        <v>7.1456914508388203E-2</v>
      </c>
      <c r="BL7" s="61">
        <f t="shared" si="17"/>
        <v>6.937038216545148E-2</v>
      </c>
      <c r="BM7" s="61">
        <f t="shared" si="17"/>
        <v>7.0326716525863572E-2</v>
      </c>
      <c r="BN7" s="61">
        <f t="shared" si="17"/>
        <v>7.2507942868325861E-2</v>
      </c>
      <c r="BO7" s="61">
        <f t="shared" si="17"/>
        <v>7.2141563886032753E-2</v>
      </c>
      <c r="BP7" s="61">
        <f t="shared" si="17"/>
        <v>6.7178556483127025E-2</v>
      </c>
      <c r="BQ7" s="61">
        <f t="shared" si="17"/>
        <v>6.7178556483127025E-2</v>
      </c>
      <c r="BR7" s="61">
        <f t="shared" si="17"/>
        <v>7.3913616317195258E-2</v>
      </c>
      <c r="BS7" s="61">
        <f t="shared" si="17"/>
        <v>7.4030974272714545E-2</v>
      </c>
      <c r="BT7" s="61">
        <f t="shared" si="17"/>
        <v>6.9276612860084866E-2</v>
      </c>
      <c r="BU7" s="61">
        <f t="shared" ref="BU7:CV7" si="18">((BU22-BU$30)/BU$30*BU$31+1)*$B$22/SUM($B$18:$B$29)</f>
        <v>6.9088157504810996E-2</v>
      </c>
      <c r="BV7" s="61">
        <f t="shared" si="18"/>
        <v>7.0215092824961453E-2</v>
      </c>
      <c r="BW7" s="61">
        <f t="shared" si="18"/>
        <v>7.0215092824961453E-2</v>
      </c>
      <c r="BX7" s="61">
        <f t="shared" si="18"/>
        <v>6.8180389045029363E-2</v>
      </c>
      <c r="BY7" s="61">
        <f t="shared" si="18"/>
        <v>7.205138528672185E-2</v>
      </c>
      <c r="BZ7" s="61">
        <f t="shared" si="18"/>
        <v>7.9776621967953987E-2</v>
      </c>
      <c r="CA7" s="61">
        <f t="shared" si="18"/>
        <v>7.1421158034631366E-2</v>
      </c>
      <c r="CB7" s="61">
        <f t="shared" si="18"/>
        <v>7.0859837944520832E-2</v>
      </c>
      <c r="CC7" s="61">
        <f t="shared" si="18"/>
        <v>7.2949728358060448E-2</v>
      </c>
      <c r="CD7" s="61">
        <f t="shared" si="18"/>
        <v>6.8810627103026989E-2</v>
      </c>
      <c r="CE7" s="61">
        <f t="shared" si="18"/>
        <v>7.1333133156637557E-2</v>
      </c>
      <c r="CF7" s="61">
        <f t="shared" si="18"/>
        <v>6.7698888594797432E-2</v>
      </c>
      <c r="CG7" s="61">
        <f t="shared" si="18"/>
        <v>7.0123580186660692E-2</v>
      </c>
      <c r="CH7" s="61">
        <f t="shared" si="18"/>
        <v>7.4100185841408858E-2</v>
      </c>
      <c r="CI7" s="61">
        <f t="shared" si="18"/>
        <v>7.3648532197926775E-2</v>
      </c>
      <c r="CJ7" s="61">
        <f t="shared" si="18"/>
        <v>7.2461939555760524E-2</v>
      </c>
      <c r="CK7" s="61">
        <f t="shared" si="18"/>
        <v>7.0738802427110878E-2</v>
      </c>
      <c r="CL7" s="61">
        <f t="shared" si="18"/>
        <v>6.9362465314633123E-2</v>
      </c>
      <c r="CM7" s="61">
        <f t="shared" si="18"/>
        <v>6.9362465314633123E-2</v>
      </c>
      <c r="CN7" s="61">
        <f t="shared" si="18"/>
        <v>7.3311837778796463E-2</v>
      </c>
      <c r="CO7" s="61">
        <f t="shared" si="18"/>
        <v>7.3311837778796463E-2</v>
      </c>
      <c r="CP7" s="61">
        <v>0.10327647467582698</v>
      </c>
      <c r="CQ7" s="61">
        <v>0.10808245637405089</v>
      </c>
      <c r="CR7" s="61" t="s">
        <v>47</v>
      </c>
      <c r="CS7" s="61">
        <f t="shared" si="18"/>
        <v>7.1969999447276334E-2</v>
      </c>
      <c r="CT7" s="61">
        <f t="shared" si="18"/>
        <v>7.3604930170254226E-2</v>
      </c>
      <c r="CU7" s="61">
        <f t="shared" si="18"/>
        <v>7.1504627098144216E-2</v>
      </c>
      <c r="CV7" s="61">
        <f t="shared" si="18"/>
        <v>7.3229671081717282E-2</v>
      </c>
      <c r="CW7" s="62">
        <v>0.11453890413135927</v>
      </c>
      <c r="CX7" s="62">
        <v>0.1156609997278418</v>
      </c>
      <c r="CY7" s="61">
        <f t="shared" ref="CY7" si="19">((CY22-CY$30)/CY$30*CY$31+1)*$B$22/SUM($B$18:$B$29)</f>
        <v>7.2226369536214891E-2</v>
      </c>
      <c r="DA7" s="118"/>
      <c r="DB7" s="62"/>
    </row>
    <row r="8" spans="3:106" x14ac:dyDescent="0.35">
      <c r="C8" s="63" t="s">
        <v>269</v>
      </c>
      <c r="D8" s="61">
        <f>((D23-D$30)/D$30*D$31+1)*$B$23/SUM($B$18:$B$29)</f>
        <v>6.4358779141934941E-2</v>
      </c>
      <c r="E8" s="61">
        <f t="shared" ref="E8:H8" si="20">((E23-E$30)/E$30*E$31+1)*$B$23/SUM($B$18:$B$29)</f>
        <v>6.4358779141934941E-2</v>
      </c>
      <c r="F8" s="61">
        <f t="shared" si="20"/>
        <v>4.7881770582165327E-2</v>
      </c>
      <c r="G8" s="61">
        <f t="shared" si="20"/>
        <v>4.8693657083664334E-2</v>
      </c>
      <c r="H8" s="61">
        <f t="shared" si="20"/>
        <v>5.0083322120742416E-2</v>
      </c>
      <c r="I8" s="61">
        <f t="shared" ref="I8:BT8" si="21">((I23-I$30)/I$30*I$31+1)*$B$23/SUM($B$18:$B$29)</f>
        <v>5.0083322120742416E-2</v>
      </c>
      <c r="J8" s="61">
        <f t="shared" si="21"/>
        <v>5.0083322120742416E-2</v>
      </c>
      <c r="K8" s="61">
        <f t="shared" si="21"/>
        <v>5.0083322120742416E-2</v>
      </c>
      <c r="L8" s="61">
        <f t="shared" si="21"/>
        <v>6.2885148933913504E-2</v>
      </c>
      <c r="M8" s="61">
        <f t="shared" si="21"/>
        <v>6.2885148933913504E-2</v>
      </c>
      <c r="N8" s="61">
        <f t="shared" si="21"/>
        <v>6.1463246258682581E-2</v>
      </c>
      <c r="O8" s="61">
        <f t="shared" si="21"/>
        <v>5.5678900681327595E-2</v>
      </c>
      <c r="P8" s="61">
        <f t="shared" si="21"/>
        <v>6.5869855965432142E-2</v>
      </c>
      <c r="Q8" s="61">
        <f t="shared" si="21"/>
        <v>5.0157900871681045E-2</v>
      </c>
      <c r="R8" s="61">
        <f t="shared" si="21"/>
        <v>5.2532185991086666E-2</v>
      </c>
      <c r="S8" s="61">
        <f t="shared" si="21"/>
        <v>5.2532185991086666E-2</v>
      </c>
      <c r="T8" s="61">
        <f t="shared" si="21"/>
        <v>5.2532185991086666E-2</v>
      </c>
      <c r="U8" s="61">
        <f t="shared" si="21"/>
        <v>5.6473377950333081E-2</v>
      </c>
      <c r="V8" s="61">
        <f t="shared" si="21"/>
        <v>5.845261424388111E-2</v>
      </c>
      <c r="W8" s="61">
        <f t="shared" si="21"/>
        <v>5.845261424388111E-2</v>
      </c>
      <c r="X8" s="61">
        <f t="shared" si="21"/>
        <v>5.845261424388111E-2</v>
      </c>
      <c r="Y8" s="61">
        <f t="shared" si="21"/>
        <v>5.845261424388111E-2</v>
      </c>
      <c r="Z8" s="61">
        <f t="shared" si="21"/>
        <v>5.4208616461529094E-2</v>
      </c>
      <c r="AA8" s="61">
        <f t="shared" si="21"/>
        <v>5.6505658824720216E-2</v>
      </c>
      <c r="AB8" s="61">
        <f t="shared" si="21"/>
        <v>5.6505658824720216E-2</v>
      </c>
      <c r="AC8" s="61">
        <f t="shared" si="21"/>
        <v>5.6505658824720216E-2</v>
      </c>
      <c r="AD8" s="61">
        <f t="shared" si="21"/>
        <v>5.6505658824720216E-2</v>
      </c>
      <c r="AE8" s="61">
        <f t="shared" si="21"/>
        <v>5.5142418827408571E-2</v>
      </c>
      <c r="AF8" s="61">
        <f t="shared" si="21"/>
        <v>5.5142418827408571E-2</v>
      </c>
      <c r="AG8" s="61">
        <f t="shared" si="21"/>
        <v>5.52512282933358E-2</v>
      </c>
      <c r="AH8" s="61">
        <f t="shared" si="21"/>
        <v>5.52512282933358E-2</v>
      </c>
      <c r="AI8" s="61">
        <f t="shared" si="21"/>
        <v>6.2767848364419371E-2</v>
      </c>
      <c r="AJ8" s="61">
        <f t="shared" si="21"/>
        <v>4.5733858939999025E-2</v>
      </c>
      <c r="AK8" s="61">
        <f t="shared" si="21"/>
        <v>5.2389032682741123E-2</v>
      </c>
      <c r="AL8" s="61">
        <f t="shared" si="21"/>
        <v>4.9856634153449118E-2</v>
      </c>
      <c r="AM8" s="61">
        <f t="shared" si="21"/>
        <v>5.6208380133444549E-2</v>
      </c>
      <c r="AN8" s="61">
        <f t="shared" si="21"/>
        <v>5.6208380133444549E-2</v>
      </c>
      <c r="AO8" s="61">
        <f t="shared" si="21"/>
        <v>5.306427312573879E-2</v>
      </c>
      <c r="AP8" s="61">
        <f t="shared" si="21"/>
        <v>5.306427312573879E-2</v>
      </c>
      <c r="AQ8" s="61">
        <f t="shared" si="21"/>
        <v>5.306427312573879E-2</v>
      </c>
      <c r="AR8" s="61">
        <f t="shared" si="21"/>
        <v>5.279204099048674E-2</v>
      </c>
      <c r="AS8" s="61">
        <f t="shared" si="21"/>
        <v>5.2658495169771884E-2</v>
      </c>
      <c r="AT8" s="61">
        <f t="shared" si="21"/>
        <v>5.2658495169771884E-2</v>
      </c>
      <c r="AU8" s="61">
        <f t="shared" si="21"/>
        <v>5.2658495169771884E-2</v>
      </c>
      <c r="AV8" s="61">
        <f t="shared" si="21"/>
        <v>5.3911332350814266E-2</v>
      </c>
      <c r="AW8" s="61">
        <f t="shared" si="21"/>
        <v>5.2318584528196599E-2</v>
      </c>
      <c r="AX8" s="61">
        <f t="shared" si="21"/>
        <v>5.2318584528196599E-2</v>
      </c>
      <c r="AY8" s="61">
        <f t="shared" si="21"/>
        <v>5.2318584528196599E-2</v>
      </c>
      <c r="AZ8" s="61">
        <f t="shared" si="21"/>
        <v>5.9776501336542449E-2</v>
      </c>
      <c r="BA8" s="61">
        <f t="shared" si="21"/>
        <v>5.9776501336542449E-2</v>
      </c>
      <c r="BB8" s="61">
        <f t="shared" si="21"/>
        <v>5.3204623092983322E-2</v>
      </c>
      <c r="BC8" s="61">
        <f t="shared" si="21"/>
        <v>5.2810375741562152E-2</v>
      </c>
      <c r="BD8" s="61">
        <f t="shared" si="21"/>
        <v>5.5562561299392757E-2</v>
      </c>
      <c r="BE8" s="61">
        <f t="shared" si="21"/>
        <v>5.5021831741491896E-2</v>
      </c>
      <c r="BF8" s="61">
        <f t="shared" si="21"/>
        <v>5.5021831741491896E-2</v>
      </c>
      <c r="BG8" s="61">
        <f t="shared" si="21"/>
        <v>6.2178169918812365E-2</v>
      </c>
      <c r="BH8" s="61">
        <f t="shared" si="21"/>
        <v>5.5575769759074876E-2</v>
      </c>
      <c r="BI8" s="61">
        <f t="shared" si="21"/>
        <v>5.5575769759074876E-2</v>
      </c>
      <c r="BJ8" s="61">
        <f t="shared" si="21"/>
        <v>6.1065532278588713E-2</v>
      </c>
      <c r="BK8" s="61">
        <f t="shared" si="21"/>
        <v>6.1065532278588713E-2</v>
      </c>
      <c r="BL8" s="61">
        <f t="shared" si="21"/>
        <v>5.7740614120224382E-2</v>
      </c>
      <c r="BM8" s="61">
        <f t="shared" si="21"/>
        <v>5.7931409737582408E-2</v>
      </c>
      <c r="BN8" s="61">
        <f t="shared" si="21"/>
        <v>6.0343608772144543E-2</v>
      </c>
      <c r="BO8" s="61">
        <f t="shared" si="21"/>
        <v>6.1565028330564549E-2</v>
      </c>
      <c r="BP8" s="61">
        <f t="shared" si="21"/>
        <v>5.1355319385773091E-2</v>
      </c>
      <c r="BQ8" s="61">
        <f t="shared" si="21"/>
        <v>5.1355319385773091E-2</v>
      </c>
      <c r="BR8" s="61">
        <f t="shared" si="21"/>
        <v>5.8017665331547043E-2</v>
      </c>
      <c r="BS8" s="61">
        <f t="shared" si="21"/>
        <v>5.8215935831388378E-2</v>
      </c>
      <c r="BT8" s="61">
        <f t="shared" si="21"/>
        <v>5.1817757894004744E-2</v>
      </c>
      <c r="BU8" s="61">
        <f t="shared" ref="BU8:CV8" si="22">((BU23-BU$30)/BU$30*BU$31+1)*$B$23/SUM($B$18:$B$29)</f>
        <v>5.1649442662505145E-2</v>
      </c>
      <c r="BV8" s="61">
        <f t="shared" si="22"/>
        <v>5.4945472217389858E-2</v>
      </c>
      <c r="BW8" s="61">
        <f t="shared" si="22"/>
        <v>5.4945472217389858E-2</v>
      </c>
      <c r="BX8" s="61">
        <f t="shared" si="22"/>
        <v>5.3802640995393045E-2</v>
      </c>
      <c r="BY8" s="61">
        <f t="shared" si="22"/>
        <v>5.7231379298274494E-2</v>
      </c>
      <c r="BZ8" s="61">
        <f t="shared" si="22"/>
        <v>7.093140025488949E-2</v>
      </c>
      <c r="CA8" s="61">
        <f t="shared" si="22"/>
        <v>5.8103599978202684E-2</v>
      </c>
      <c r="CB8" s="61">
        <f t="shared" si="22"/>
        <v>5.4796721296207752E-2</v>
      </c>
      <c r="CC8" s="61">
        <f t="shared" si="22"/>
        <v>6.0122438076824533E-2</v>
      </c>
      <c r="CD8" s="61">
        <f t="shared" si="22"/>
        <v>5.4033835369514546E-2</v>
      </c>
      <c r="CE8" s="61">
        <f t="shared" si="22"/>
        <v>5.821772022802281E-2</v>
      </c>
      <c r="CF8" s="61">
        <f t="shared" si="22"/>
        <v>5.6375269244658396E-2</v>
      </c>
      <c r="CG8" s="61">
        <f t="shared" si="22"/>
        <v>5.6176376033325807E-2</v>
      </c>
      <c r="CH8" s="61">
        <f t="shared" si="22"/>
        <v>6.0311375186494591E-2</v>
      </c>
      <c r="CI8" s="61">
        <f t="shared" si="22"/>
        <v>6.1718888572884843E-2</v>
      </c>
      <c r="CJ8" s="61">
        <f t="shared" si="22"/>
        <v>6.1477848829746988E-2</v>
      </c>
      <c r="CK8" s="61">
        <f t="shared" si="22"/>
        <v>5.932839053040069E-2</v>
      </c>
      <c r="CL8" s="61">
        <f t="shared" si="22"/>
        <v>5.5827516918330718E-2</v>
      </c>
      <c r="CM8" s="61">
        <f t="shared" si="22"/>
        <v>5.5827516918330718E-2</v>
      </c>
      <c r="CN8" s="61">
        <f t="shared" si="22"/>
        <v>5.9776501336542449E-2</v>
      </c>
      <c r="CO8" s="61">
        <f t="shared" si="22"/>
        <v>5.9776501336542449E-2</v>
      </c>
      <c r="CP8" s="61">
        <v>0.11119560514481257</v>
      </c>
      <c r="CQ8" s="61">
        <v>0.11356067670174505</v>
      </c>
      <c r="CR8" s="61" t="s">
        <v>47</v>
      </c>
      <c r="CS8" s="61">
        <f t="shared" si="22"/>
        <v>6.3213280320505258E-2</v>
      </c>
      <c r="CT8" s="61">
        <f t="shared" si="22"/>
        <v>6.1043012660415605E-2</v>
      </c>
      <c r="CU8" s="61">
        <f t="shared" si="22"/>
        <v>5.8882480823189205E-2</v>
      </c>
      <c r="CV8" s="61">
        <f t="shared" si="22"/>
        <v>5.9699034480917554E-2</v>
      </c>
      <c r="CW8" s="62">
        <v>0.12632782090168687</v>
      </c>
      <c r="CX8" s="62">
        <v>0.1232291708246394</v>
      </c>
      <c r="CY8" s="61">
        <f t="shared" ref="CY8" si="23">((CY23-CY$30)/CY$30*CY$31+1)*$B$23/SUM($B$18:$B$29)</f>
        <v>5.5942788196893155E-2</v>
      </c>
      <c r="DA8" s="118"/>
      <c r="DB8" s="62"/>
    </row>
    <row r="9" spans="3:106" x14ac:dyDescent="0.35">
      <c r="C9" s="63" t="s">
        <v>270</v>
      </c>
      <c r="D9" s="61">
        <f>((D24-D$30)/D$30*D$31+1)*$B$24/SUM($B$18:$B$29)</f>
        <v>5.7309685389642442E-2</v>
      </c>
      <c r="E9" s="61">
        <f t="shared" ref="E9:H9" si="24">((E24-E$30)/E$30*E$31+1)*$B$24/SUM($B$18:$B$29)</f>
        <v>5.7309685389642442E-2</v>
      </c>
      <c r="F9" s="61">
        <f t="shared" si="24"/>
        <v>4.9651987735968448E-2</v>
      </c>
      <c r="G9" s="61">
        <f t="shared" si="24"/>
        <v>5.1091354837016392E-2</v>
      </c>
      <c r="H9" s="61">
        <f t="shared" si="24"/>
        <v>4.2290223351820568E-2</v>
      </c>
      <c r="I9" s="61">
        <f t="shared" ref="I9:BT9" si="25">((I24-I$30)/I$30*I$31+1)*$B$24/SUM($B$18:$B$29)</f>
        <v>4.2290223351820568E-2</v>
      </c>
      <c r="J9" s="61">
        <f t="shared" si="25"/>
        <v>4.2290223351820568E-2</v>
      </c>
      <c r="K9" s="61">
        <f t="shared" si="25"/>
        <v>4.2290223351820568E-2</v>
      </c>
      <c r="L9" s="61">
        <f t="shared" si="25"/>
        <v>6.3251161758124175E-2</v>
      </c>
      <c r="M9" s="61">
        <f t="shared" si="25"/>
        <v>6.3251161758124175E-2</v>
      </c>
      <c r="N9" s="61">
        <f t="shared" si="25"/>
        <v>6.1654066506086555E-2</v>
      </c>
      <c r="O9" s="61">
        <f t="shared" si="25"/>
        <v>5.3741412041530753E-2</v>
      </c>
      <c r="P9" s="61">
        <f t="shared" si="25"/>
        <v>6.3918923275991954E-2</v>
      </c>
      <c r="Q9" s="61">
        <f t="shared" si="25"/>
        <v>5.1932330984717508E-2</v>
      </c>
      <c r="R9" s="61">
        <f t="shared" si="25"/>
        <v>5.1365195611512732E-2</v>
      </c>
      <c r="S9" s="61">
        <f t="shared" si="25"/>
        <v>5.1365195611512732E-2</v>
      </c>
      <c r="T9" s="61">
        <f t="shared" si="25"/>
        <v>5.1365195611512732E-2</v>
      </c>
      <c r="U9" s="61">
        <f t="shared" si="25"/>
        <v>5.6094959557979759E-2</v>
      </c>
      <c r="V9" s="61">
        <f t="shared" si="25"/>
        <v>5.9685837627625957E-2</v>
      </c>
      <c r="W9" s="61">
        <f t="shared" si="25"/>
        <v>5.9685837627625957E-2</v>
      </c>
      <c r="X9" s="61">
        <f t="shared" si="25"/>
        <v>5.9685837627625957E-2</v>
      </c>
      <c r="Y9" s="61">
        <f t="shared" si="25"/>
        <v>5.9685837627625957E-2</v>
      </c>
      <c r="Z9" s="61">
        <f t="shared" si="25"/>
        <v>5.6617592995790403E-2</v>
      </c>
      <c r="AA9" s="61">
        <f t="shared" si="25"/>
        <v>5.5805765230534217E-2</v>
      </c>
      <c r="AB9" s="61">
        <f t="shared" si="25"/>
        <v>5.5805765230534217E-2</v>
      </c>
      <c r="AC9" s="61">
        <f t="shared" si="25"/>
        <v>5.5805765230534217E-2</v>
      </c>
      <c r="AD9" s="61">
        <f t="shared" si="25"/>
        <v>5.5805765230534217E-2</v>
      </c>
      <c r="AE9" s="61">
        <f t="shared" si="25"/>
        <v>5.5502094611938502E-2</v>
      </c>
      <c r="AF9" s="61">
        <f t="shared" si="25"/>
        <v>5.5502094611938502E-2</v>
      </c>
      <c r="AG9" s="61">
        <f t="shared" si="25"/>
        <v>5.4209501642986421E-2</v>
      </c>
      <c r="AH9" s="61">
        <f t="shared" si="25"/>
        <v>5.4209501642986421E-2</v>
      </c>
      <c r="AI9" s="61">
        <f t="shared" si="25"/>
        <v>5.4725432766013889E-2</v>
      </c>
      <c r="AJ9" s="61">
        <f t="shared" si="25"/>
        <v>4.2226792850300558E-2</v>
      </c>
      <c r="AK9" s="61">
        <f t="shared" si="25"/>
        <v>4.7148257595318536E-2</v>
      </c>
      <c r="AL9" s="61">
        <f t="shared" si="25"/>
        <v>4.8978871135575371E-2</v>
      </c>
      <c r="AM9" s="61">
        <f t="shared" si="25"/>
        <v>5.3277876255321203E-2</v>
      </c>
      <c r="AN9" s="61">
        <f t="shared" si="25"/>
        <v>5.3277876255321203E-2</v>
      </c>
      <c r="AO9" s="61">
        <f t="shared" si="25"/>
        <v>5.1528455100240123E-2</v>
      </c>
      <c r="AP9" s="61">
        <f t="shared" si="25"/>
        <v>5.1528455100240123E-2</v>
      </c>
      <c r="AQ9" s="61">
        <f t="shared" si="25"/>
        <v>5.1528455100240123E-2</v>
      </c>
      <c r="AR9" s="61">
        <f t="shared" si="25"/>
        <v>4.8534154317199832E-2</v>
      </c>
      <c r="AS9" s="61">
        <f t="shared" si="25"/>
        <v>5.063891402738642E-2</v>
      </c>
      <c r="AT9" s="61">
        <f t="shared" si="25"/>
        <v>5.063891402738642E-2</v>
      </c>
      <c r="AU9" s="61">
        <f t="shared" si="25"/>
        <v>5.063891402738642E-2</v>
      </c>
      <c r="AV9" s="61">
        <f t="shared" si="25"/>
        <v>5.45312780387101E-2</v>
      </c>
      <c r="AW9" s="61">
        <f t="shared" si="25"/>
        <v>4.8679109940908002E-2</v>
      </c>
      <c r="AX9" s="61">
        <f t="shared" si="25"/>
        <v>4.8679109940908002E-2</v>
      </c>
      <c r="AY9" s="61">
        <f t="shared" si="25"/>
        <v>4.8679109940908002E-2</v>
      </c>
      <c r="AZ9" s="61">
        <f t="shared" si="25"/>
        <v>5.8723038303922351E-2</v>
      </c>
      <c r="BA9" s="61">
        <f t="shared" si="25"/>
        <v>5.8723038303922351E-2</v>
      </c>
      <c r="BB9" s="61">
        <f t="shared" si="25"/>
        <v>5.2787219565539174E-2</v>
      </c>
      <c r="BC9" s="61">
        <f t="shared" si="25"/>
        <v>5.1237233097612557E-2</v>
      </c>
      <c r="BD9" s="61">
        <f t="shared" si="25"/>
        <v>6.0379357350993333E-2</v>
      </c>
      <c r="BE9" s="61">
        <f t="shared" si="25"/>
        <v>5.4491167993147238E-2</v>
      </c>
      <c r="BF9" s="61">
        <f t="shared" si="25"/>
        <v>5.4491167993147238E-2</v>
      </c>
      <c r="BG9" s="61">
        <f t="shared" si="25"/>
        <v>6.1403868052984749E-2</v>
      </c>
      <c r="BH9" s="61">
        <f t="shared" si="25"/>
        <v>5.3647636178124625E-2</v>
      </c>
      <c r="BI9" s="61">
        <f t="shared" si="25"/>
        <v>5.3647636178124625E-2</v>
      </c>
      <c r="BJ9" s="61">
        <f t="shared" si="25"/>
        <v>6.0954203226013505E-2</v>
      </c>
      <c r="BK9" s="61">
        <f t="shared" si="25"/>
        <v>6.0954203226013505E-2</v>
      </c>
      <c r="BL9" s="61">
        <f t="shared" si="25"/>
        <v>5.6679122516677082E-2</v>
      </c>
      <c r="BM9" s="61">
        <f t="shared" si="25"/>
        <v>5.6415118805047751E-2</v>
      </c>
      <c r="BN9" s="61">
        <f t="shared" si="25"/>
        <v>5.8900749042421603E-2</v>
      </c>
      <c r="BO9" s="61">
        <f t="shared" si="25"/>
        <v>5.6219612265653168E-2</v>
      </c>
      <c r="BP9" s="61">
        <f t="shared" si="25"/>
        <v>5.0767318611689059E-2</v>
      </c>
      <c r="BQ9" s="61">
        <f t="shared" si="25"/>
        <v>5.0767318611689059E-2</v>
      </c>
      <c r="BR9" s="61">
        <f t="shared" si="25"/>
        <v>5.8038980823247474E-2</v>
      </c>
      <c r="BS9" s="61">
        <f t="shared" si="25"/>
        <v>5.818612280134957E-2</v>
      </c>
      <c r="BT9" s="61">
        <f t="shared" si="25"/>
        <v>5.2692565455664926E-2</v>
      </c>
      <c r="BU9" s="61">
        <f t="shared" ref="BU9:CV9" si="26">((BU24-BU$30)/BU$30*BU$31+1)*$B$24/SUM($B$18:$B$29)</f>
        <v>5.1296230453756204E-2</v>
      </c>
      <c r="BV9" s="61">
        <f t="shared" si="26"/>
        <v>5.4576734872352879E-2</v>
      </c>
      <c r="BW9" s="61">
        <f t="shared" si="26"/>
        <v>5.4576734872352879E-2</v>
      </c>
      <c r="BX9" s="61">
        <f t="shared" si="26"/>
        <v>5.4642302865922081E-2</v>
      </c>
      <c r="BY9" s="61">
        <f t="shared" si="26"/>
        <v>5.6744069788816874E-2</v>
      </c>
      <c r="BZ9" s="61">
        <f t="shared" si="26"/>
        <v>7.5053296657844992E-2</v>
      </c>
      <c r="CA9" s="61">
        <f t="shared" si="26"/>
        <v>5.6583610287218665E-2</v>
      </c>
      <c r="CB9" s="61">
        <f t="shared" si="26"/>
        <v>5.5047921704150189E-2</v>
      </c>
      <c r="CC9" s="61">
        <f t="shared" si="26"/>
        <v>5.8323770233724696E-2</v>
      </c>
      <c r="CD9" s="61">
        <f t="shared" si="26"/>
        <v>5.7167166899750439E-2</v>
      </c>
      <c r="CE9" s="61">
        <f t="shared" si="26"/>
        <v>6.0987782244880967E-2</v>
      </c>
      <c r="CF9" s="61">
        <f t="shared" si="26"/>
        <v>5.9713558380460968E-2</v>
      </c>
      <c r="CG9" s="61">
        <f t="shared" si="26"/>
        <v>5.890243205018638E-2</v>
      </c>
      <c r="CH9" s="61">
        <f t="shared" si="26"/>
        <v>5.9994279874904521E-2</v>
      </c>
      <c r="CI9" s="61">
        <f t="shared" si="26"/>
        <v>6.1291753077901953E-2</v>
      </c>
      <c r="CJ9" s="61">
        <f t="shared" si="26"/>
        <v>6.0402905182479184E-2</v>
      </c>
      <c r="CK9" s="61">
        <f t="shared" si="26"/>
        <v>5.8377812426865162E-2</v>
      </c>
      <c r="CL9" s="61">
        <f t="shared" si="26"/>
        <v>5.3478551228570752E-2</v>
      </c>
      <c r="CM9" s="61">
        <f t="shared" si="26"/>
        <v>5.3478551228570752E-2</v>
      </c>
      <c r="CN9" s="61">
        <f t="shared" si="26"/>
        <v>5.8723038303922351E-2</v>
      </c>
      <c r="CO9" s="61">
        <f t="shared" si="26"/>
        <v>5.8723038303922351E-2</v>
      </c>
      <c r="CP9" s="61">
        <v>0.11902295761167415</v>
      </c>
      <c r="CQ9" s="61">
        <v>0.1196383375516185</v>
      </c>
      <c r="CR9" s="61" t="s">
        <v>47</v>
      </c>
      <c r="CS9" s="61">
        <f t="shared" si="26"/>
        <v>6.3619722200902104E-2</v>
      </c>
      <c r="CT9" s="61">
        <f t="shared" si="26"/>
        <v>5.9601833855317525E-2</v>
      </c>
      <c r="CU9" s="61">
        <f t="shared" si="26"/>
        <v>5.714507171490129E-2</v>
      </c>
      <c r="CV9" s="61">
        <f t="shared" si="26"/>
        <v>6.223965050934268E-2</v>
      </c>
      <c r="CW9" s="62">
        <v>0.13849200414335813</v>
      </c>
      <c r="CX9" s="62">
        <v>0.13112194502404065</v>
      </c>
      <c r="CY9" s="61">
        <f t="shared" ref="CY9" si="27">((CY24-CY$30)/CY$30*CY$31+1)*$B$24/SUM($B$18:$B$29)</f>
        <v>5.7113858785385385E-2</v>
      </c>
      <c r="DA9" s="118"/>
      <c r="DB9" s="62"/>
    </row>
    <row r="10" spans="3:106" x14ac:dyDescent="0.35">
      <c r="C10" s="63" t="s">
        <v>271</v>
      </c>
      <c r="D10" s="61">
        <f>((D25-D$30)/D$30*D$31+1)*$B$25/SUM($B$18:$B$29)</f>
        <v>5.65948403351643E-2</v>
      </c>
      <c r="E10" s="61">
        <f t="shared" ref="E10:H10" si="28">((E25-E$30)/E$30*E$31+1)*$B$25/SUM($B$18:$B$29)</f>
        <v>5.65948403351643E-2</v>
      </c>
      <c r="F10" s="61">
        <f t="shared" si="28"/>
        <v>5.008738307196247E-2</v>
      </c>
      <c r="G10" s="61">
        <f t="shared" si="28"/>
        <v>5.1284998799657221E-2</v>
      </c>
      <c r="H10" s="61">
        <f t="shared" si="28"/>
        <v>3.8554203201552548E-2</v>
      </c>
      <c r="I10" s="61">
        <f t="shared" ref="I10:BT10" si="29">((I25-I$30)/I$30*I$31+1)*$B$25/SUM($B$18:$B$29)</f>
        <v>3.8554203201552548E-2</v>
      </c>
      <c r="J10" s="61">
        <f t="shared" si="29"/>
        <v>3.8554203201552548E-2</v>
      </c>
      <c r="K10" s="61">
        <f t="shared" si="29"/>
        <v>3.8554203201552548E-2</v>
      </c>
      <c r="L10" s="61">
        <f t="shared" si="29"/>
        <v>5.641703447079105E-2</v>
      </c>
      <c r="M10" s="61">
        <f t="shared" si="29"/>
        <v>5.641703447079105E-2</v>
      </c>
      <c r="N10" s="61">
        <f t="shared" si="29"/>
        <v>5.431514572593904E-2</v>
      </c>
      <c r="O10" s="61">
        <f t="shared" si="29"/>
        <v>5.076816588262828E-2</v>
      </c>
      <c r="P10" s="61">
        <f t="shared" si="29"/>
        <v>5.9044855992097904E-2</v>
      </c>
      <c r="Q10" s="61">
        <f t="shared" si="29"/>
        <v>5.2444831404619613E-2</v>
      </c>
      <c r="R10" s="61">
        <f t="shared" si="29"/>
        <v>5.1224904109303915E-2</v>
      </c>
      <c r="S10" s="61">
        <f t="shared" si="29"/>
        <v>5.1224904109303915E-2</v>
      </c>
      <c r="T10" s="61">
        <f t="shared" si="29"/>
        <v>5.1224904109303915E-2</v>
      </c>
      <c r="U10" s="61">
        <f t="shared" si="29"/>
        <v>5.1573230909917563E-2</v>
      </c>
      <c r="V10" s="61">
        <f t="shared" si="29"/>
        <v>5.9261189354814302E-2</v>
      </c>
      <c r="W10" s="61">
        <f t="shared" si="29"/>
        <v>5.9261189354814302E-2</v>
      </c>
      <c r="X10" s="61">
        <f t="shared" si="29"/>
        <v>5.9261189354814302E-2</v>
      </c>
      <c r="Y10" s="61">
        <f t="shared" si="29"/>
        <v>5.9261189354814302E-2</v>
      </c>
      <c r="Z10" s="61">
        <f t="shared" si="29"/>
        <v>5.5890148957702918E-2</v>
      </c>
      <c r="AA10" s="61">
        <f t="shared" si="29"/>
        <v>5.063893412051422E-2</v>
      </c>
      <c r="AB10" s="61">
        <f t="shared" si="29"/>
        <v>5.063893412051422E-2</v>
      </c>
      <c r="AC10" s="61">
        <f t="shared" si="29"/>
        <v>5.063893412051422E-2</v>
      </c>
      <c r="AD10" s="61">
        <f t="shared" si="29"/>
        <v>5.063893412051422E-2</v>
      </c>
      <c r="AE10" s="61">
        <f t="shared" si="29"/>
        <v>5.5026893055243761E-2</v>
      </c>
      <c r="AF10" s="61">
        <f t="shared" si="29"/>
        <v>5.5026893055243761E-2</v>
      </c>
      <c r="AG10" s="61">
        <f t="shared" si="29"/>
        <v>5.332448716710577E-2</v>
      </c>
      <c r="AH10" s="61">
        <f t="shared" si="29"/>
        <v>5.332448716710577E-2</v>
      </c>
      <c r="AI10" s="61">
        <f t="shared" si="29"/>
        <v>5.3782045259712433E-2</v>
      </c>
      <c r="AJ10" s="61">
        <f t="shared" si="29"/>
        <v>3.9032620546124976E-2</v>
      </c>
      <c r="AK10" s="61">
        <f t="shared" si="29"/>
        <v>4.3201582767392263E-2</v>
      </c>
      <c r="AL10" s="61">
        <f t="shared" si="29"/>
        <v>4.5200366252592127E-2</v>
      </c>
      <c r="AM10" s="61">
        <f t="shared" si="29"/>
        <v>4.8048078492859414E-2</v>
      </c>
      <c r="AN10" s="61">
        <f t="shared" si="29"/>
        <v>4.8048078492859414E-2</v>
      </c>
      <c r="AO10" s="61">
        <f t="shared" si="29"/>
        <v>4.8736614938950311E-2</v>
      </c>
      <c r="AP10" s="61">
        <f t="shared" si="29"/>
        <v>4.8736614938950311E-2</v>
      </c>
      <c r="AQ10" s="61">
        <f t="shared" si="29"/>
        <v>4.8736614938950311E-2</v>
      </c>
      <c r="AR10" s="61">
        <f t="shared" si="29"/>
        <v>4.1963894246712381E-2</v>
      </c>
      <c r="AS10" s="61">
        <f t="shared" si="29"/>
        <v>4.5959330166174248E-2</v>
      </c>
      <c r="AT10" s="61">
        <f t="shared" si="29"/>
        <v>4.5959330166174248E-2</v>
      </c>
      <c r="AU10" s="61">
        <f t="shared" si="29"/>
        <v>4.5959330166174248E-2</v>
      </c>
      <c r="AV10" s="61">
        <f t="shared" si="29"/>
        <v>5.0646852250176795E-2</v>
      </c>
      <c r="AW10" s="61">
        <f t="shared" si="29"/>
        <v>4.4415933325470815E-2</v>
      </c>
      <c r="AX10" s="61">
        <f t="shared" si="29"/>
        <v>4.4415933325470815E-2</v>
      </c>
      <c r="AY10" s="61">
        <f t="shared" si="29"/>
        <v>4.4415933325470815E-2</v>
      </c>
      <c r="AZ10" s="61">
        <f t="shared" si="29"/>
        <v>5.2150062716341691E-2</v>
      </c>
      <c r="BA10" s="61">
        <f t="shared" si="29"/>
        <v>5.2150062716341691E-2</v>
      </c>
      <c r="BB10" s="61">
        <f t="shared" si="29"/>
        <v>4.8938357061431043E-2</v>
      </c>
      <c r="BC10" s="61">
        <f t="shared" si="29"/>
        <v>4.8421010052818042E-2</v>
      </c>
      <c r="BD10" s="61">
        <f t="shared" si="29"/>
        <v>5.483875051583309E-2</v>
      </c>
      <c r="BE10" s="61">
        <f t="shared" si="29"/>
        <v>4.9581793666828487E-2</v>
      </c>
      <c r="BF10" s="61">
        <f t="shared" si="29"/>
        <v>4.9581793666828487E-2</v>
      </c>
      <c r="BG10" s="61">
        <f t="shared" si="29"/>
        <v>6.074179653442939E-2</v>
      </c>
      <c r="BH10" s="61">
        <f t="shared" si="29"/>
        <v>5.3647636178124625E-2</v>
      </c>
      <c r="BI10" s="61">
        <f t="shared" si="29"/>
        <v>5.3647636178124625E-2</v>
      </c>
      <c r="BJ10" s="61">
        <f t="shared" si="29"/>
        <v>6.0449062803614707E-2</v>
      </c>
      <c r="BK10" s="61">
        <f t="shared" si="29"/>
        <v>6.0449062803614707E-2</v>
      </c>
      <c r="BL10" s="61">
        <f t="shared" si="29"/>
        <v>5.6882725612646748E-2</v>
      </c>
      <c r="BM10" s="61">
        <f t="shared" si="29"/>
        <v>5.5999482317782609E-2</v>
      </c>
      <c r="BN10" s="61">
        <f t="shared" si="29"/>
        <v>5.8387270030123312E-2</v>
      </c>
      <c r="BO10" s="61">
        <f t="shared" si="29"/>
        <v>5.3378156284170038E-2</v>
      </c>
      <c r="BP10" s="61">
        <f t="shared" si="29"/>
        <v>4.7757645230421863E-2</v>
      </c>
      <c r="BQ10" s="61">
        <f t="shared" si="29"/>
        <v>4.7757645230421863E-2</v>
      </c>
      <c r="BR10" s="61">
        <f t="shared" si="29"/>
        <v>5.4131798593239695E-2</v>
      </c>
      <c r="BS10" s="61">
        <f t="shared" si="29"/>
        <v>5.4135970784489416E-2</v>
      </c>
      <c r="BT10" s="61">
        <f t="shared" si="29"/>
        <v>5.2537574358427347E-2</v>
      </c>
      <c r="BU10" s="61">
        <f t="shared" ref="BU10:CV10" si="30">((BU25-BU$30)/BU$30*BU$31+1)*$B$25/SUM($B$18:$B$29)</f>
        <v>5.2178046080193323E-2</v>
      </c>
      <c r="BV10" s="61">
        <f t="shared" si="30"/>
        <v>5.5452104379533677E-2</v>
      </c>
      <c r="BW10" s="61">
        <f t="shared" si="30"/>
        <v>5.5452104379533677E-2</v>
      </c>
      <c r="BX10" s="61">
        <f t="shared" si="30"/>
        <v>5.4615809546589185E-2</v>
      </c>
      <c r="BY10" s="61">
        <f t="shared" si="30"/>
        <v>5.5312263067074062E-2</v>
      </c>
      <c r="BZ10" s="61">
        <f t="shared" si="30"/>
        <v>6.5496801262973262E-2</v>
      </c>
      <c r="CA10" s="61">
        <f t="shared" si="30"/>
        <v>5.2249344547383045E-2</v>
      </c>
      <c r="CB10" s="61">
        <f t="shared" si="30"/>
        <v>5.0788623233496852E-2</v>
      </c>
      <c r="CC10" s="61">
        <f t="shared" si="30"/>
        <v>5.3962575447559134E-2</v>
      </c>
      <c r="CD10" s="61">
        <f t="shared" si="30"/>
        <v>5.3730081393520049E-2</v>
      </c>
      <c r="CE10" s="61">
        <f t="shared" si="30"/>
        <v>5.8176796028323492E-2</v>
      </c>
      <c r="CF10" s="61">
        <f t="shared" si="30"/>
        <v>5.4168927102067894E-2</v>
      </c>
      <c r="CG10" s="61">
        <f t="shared" si="30"/>
        <v>5.5864940049037873E-2</v>
      </c>
      <c r="CH10" s="61">
        <f t="shared" si="30"/>
        <v>5.8466140061866567E-2</v>
      </c>
      <c r="CI10" s="61">
        <f t="shared" si="30"/>
        <v>6.0855887853209716E-2</v>
      </c>
      <c r="CJ10" s="61">
        <f t="shared" si="30"/>
        <v>6.0502402165757092E-2</v>
      </c>
      <c r="CK10" s="61">
        <f t="shared" si="30"/>
        <v>5.815428638707771E-2</v>
      </c>
      <c r="CL10" s="61">
        <f t="shared" si="30"/>
        <v>5.3581861238886593E-2</v>
      </c>
      <c r="CM10" s="61">
        <f t="shared" si="30"/>
        <v>5.3581861238886593E-2</v>
      </c>
      <c r="CN10" s="61">
        <f t="shared" si="30"/>
        <v>5.2150062716341691E-2</v>
      </c>
      <c r="CO10" s="61">
        <f t="shared" si="30"/>
        <v>5.2150062716341691E-2</v>
      </c>
      <c r="CP10" s="61">
        <v>0.11001560226036108</v>
      </c>
      <c r="CQ10" s="61">
        <v>0.11346076994804849</v>
      </c>
      <c r="CR10" s="61" t="s">
        <v>47</v>
      </c>
      <c r="CS10" s="61">
        <f t="shared" si="30"/>
        <v>5.6902085719603056E-2</v>
      </c>
      <c r="CT10" s="61">
        <f t="shared" si="30"/>
        <v>5.9229411080984118E-2</v>
      </c>
      <c r="CU10" s="61">
        <f t="shared" si="30"/>
        <v>5.6630480139733888E-2</v>
      </c>
      <c r="CV10" s="61">
        <f t="shared" si="30"/>
        <v>6.4878173193733249E-2</v>
      </c>
      <c r="CW10" s="62">
        <v>0.12361744843991464</v>
      </c>
      <c r="CX10" s="62">
        <v>0.11776823913635129</v>
      </c>
      <c r="CY10" s="61">
        <f t="shared" ref="CY10" si="31">((CY25-CY$30)/CY$30*CY$31+1)*$B$25/SUM($B$18:$B$29)</f>
        <v>5.6667915845196967E-2</v>
      </c>
      <c r="DA10" s="118"/>
      <c r="DB10" s="62"/>
    </row>
    <row r="11" spans="3:106" x14ac:dyDescent="0.35">
      <c r="C11" s="63" t="s">
        <v>272</v>
      </c>
      <c r="D11" s="61">
        <f>((D26-D$30)/D$30*D$31+1)*$B$26/SUM($B$18:$B$29)</f>
        <v>6.9201277898077312E-2</v>
      </c>
      <c r="E11" s="61">
        <f t="shared" ref="E11:H11" si="32">((E26-E$30)/E$30*E$31+1)*$B$26/SUM($B$18:$B$29)</f>
        <v>6.9201277898077312E-2</v>
      </c>
      <c r="F11" s="61">
        <f t="shared" si="32"/>
        <v>6.1926781420682184E-2</v>
      </c>
      <c r="G11" s="61">
        <f t="shared" si="32"/>
        <v>6.2507521331036736E-2</v>
      </c>
      <c r="H11" s="61">
        <f t="shared" si="32"/>
        <v>6.0040774028384279E-2</v>
      </c>
      <c r="I11" s="61">
        <f t="shared" ref="I11:BT11" si="33">((I26-I$30)/I$30*I$31+1)*$B$26/SUM($B$18:$B$29)</f>
        <v>6.0040774028384279E-2</v>
      </c>
      <c r="J11" s="61">
        <f t="shared" si="33"/>
        <v>6.0040774028384279E-2</v>
      </c>
      <c r="K11" s="61">
        <f t="shared" si="33"/>
        <v>6.0040774028384279E-2</v>
      </c>
      <c r="L11" s="61">
        <f t="shared" si="33"/>
        <v>6.7489603823296787E-2</v>
      </c>
      <c r="M11" s="61">
        <f t="shared" si="33"/>
        <v>6.7489603823296787E-2</v>
      </c>
      <c r="N11" s="61">
        <f t="shared" si="33"/>
        <v>6.6407802929668039E-2</v>
      </c>
      <c r="O11" s="61">
        <f t="shared" si="33"/>
        <v>6.4330749348389768E-2</v>
      </c>
      <c r="P11" s="61">
        <f t="shared" si="33"/>
        <v>7.0070424303501647E-2</v>
      </c>
      <c r="Q11" s="61">
        <f t="shared" si="33"/>
        <v>6.3573839282989542E-2</v>
      </c>
      <c r="R11" s="61">
        <f t="shared" si="33"/>
        <v>6.4642510504338502E-2</v>
      </c>
      <c r="S11" s="61">
        <f t="shared" si="33"/>
        <v>6.4642510504338502E-2</v>
      </c>
      <c r="T11" s="61">
        <f t="shared" si="33"/>
        <v>6.4642510504338502E-2</v>
      </c>
      <c r="U11" s="61">
        <f t="shared" si="33"/>
        <v>6.6232711641078551E-2</v>
      </c>
      <c r="V11" s="61">
        <f t="shared" si="33"/>
        <v>6.7363739289639832E-2</v>
      </c>
      <c r="W11" s="61">
        <f t="shared" si="33"/>
        <v>6.7363739289639832E-2</v>
      </c>
      <c r="X11" s="61">
        <f t="shared" si="33"/>
        <v>6.7363739289639832E-2</v>
      </c>
      <c r="Y11" s="61">
        <f t="shared" si="33"/>
        <v>6.7363739289639832E-2</v>
      </c>
      <c r="Z11" s="61">
        <f t="shared" si="33"/>
        <v>6.6200519291848031E-2</v>
      </c>
      <c r="AA11" s="61">
        <f t="shared" si="33"/>
        <v>6.4790806234823542E-2</v>
      </c>
      <c r="AB11" s="61">
        <f t="shared" si="33"/>
        <v>6.4790806234823542E-2</v>
      </c>
      <c r="AC11" s="61">
        <f t="shared" si="33"/>
        <v>6.4790806234823542E-2</v>
      </c>
      <c r="AD11" s="61">
        <f t="shared" si="33"/>
        <v>6.4790806234823542E-2</v>
      </c>
      <c r="AE11" s="61">
        <f t="shared" si="33"/>
        <v>6.5949421971595729E-2</v>
      </c>
      <c r="AF11" s="61">
        <f t="shared" si="33"/>
        <v>6.5949421971595729E-2</v>
      </c>
      <c r="AG11" s="61">
        <f t="shared" si="33"/>
        <v>6.6965467765970246E-2</v>
      </c>
      <c r="AH11" s="61">
        <f t="shared" si="33"/>
        <v>6.6965467765970246E-2</v>
      </c>
      <c r="AI11" s="61">
        <f t="shared" si="33"/>
        <v>6.7932568905830104E-2</v>
      </c>
      <c r="AJ11" s="61">
        <f t="shared" si="33"/>
        <v>6.0314165860857652E-2</v>
      </c>
      <c r="AK11" s="61">
        <f t="shared" si="33"/>
        <v>6.2319375798168521E-2</v>
      </c>
      <c r="AL11" s="61">
        <f t="shared" si="33"/>
        <v>6.6790969892890156E-2</v>
      </c>
      <c r="AM11" s="61">
        <f t="shared" si="33"/>
        <v>6.4182546639223723E-2</v>
      </c>
      <c r="AN11" s="61">
        <f t="shared" si="33"/>
        <v>6.4182546639223723E-2</v>
      </c>
      <c r="AO11" s="61">
        <f t="shared" si="33"/>
        <v>6.7372683695614458E-2</v>
      </c>
      <c r="AP11" s="61">
        <f t="shared" si="33"/>
        <v>6.7372683695614458E-2</v>
      </c>
      <c r="AQ11" s="61">
        <f t="shared" si="33"/>
        <v>6.7372683695614458E-2</v>
      </c>
      <c r="AR11" s="61">
        <f t="shared" si="33"/>
        <v>6.24780740760109E-2</v>
      </c>
      <c r="AS11" s="61">
        <f t="shared" si="33"/>
        <v>6.745201834392657E-2</v>
      </c>
      <c r="AT11" s="61">
        <f t="shared" si="33"/>
        <v>6.745201834392657E-2</v>
      </c>
      <c r="AU11" s="61">
        <f t="shared" si="33"/>
        <v>6.745201834392657E-2</v>
      </c>
      <c r="AV11" s="61">
        <f t="shared" si="33"/>
        <v>6.655565089999893E-2</v>
      </c>
      <c r="AW11" s="61">
        <f t="shared" si="33"/>
        <v>6.1804579116348624E-2</v>
      </c>
      <c r="AX11" s="61">
        <f t="shared" si="33"/>
        <v>6.1804579116348624E-2</v>
      </c>
      <c r="AY11" s="61">
        <f t="shared" si="33"/>
        <v>6.1804579116348624E-2</v>
      </c>
      <c r="AZ11" s="61">
        <f t="shared" si="33"/>
        <v>6.5962907352784275E-2</v>
      </c>
      <c r="BA11" s="61">
        <f t="shared" si="33"/>
        <v>6.5962907352784275E-2</v>
      </c>
      <c r="BB11" s="61">
        <f t="shared" si="33"/>
        <v>6.6327047610711801E-2</v>
      </c>
      <c r="BC11" s="61">
        <f t="shared" si="33"/>
        <v>6.7243750595890883E-2</v>
      </c>
      <c r="BD11" s="61">
        <f t="shared" si="33"/>
        <v>5.8102398048956866E-2</v>
      </c>
      <c r="BE11" s="61">
        <f t="shared" si="33"/>
        <v>6.5419324403548515E-2</v>
      </c>
      <c r="BF11" s="61">
        <f t="shared" si="33"/>
        <v>6.5419324403548515E-2</v>
      </c>
      <c r="BG11" s="61">
        <f t="shared" si="33"/>
        <v>7.1084099700669881E-2</v>
      </c>
      <c r="BH11" s="61">
        <f t="shared" si="33"/>
        <v>6.8095003449080163E-2</v>
      </c>
      <c r="BI11" s="61">
        <f t="shared" si="33"/>
        <v>6.8095003449080163E-2</v>
      </c>
      <c r="BJ11" s="61">
        <f t="shared" si="33"/>
        <v>6.9701804016374339E-2</v>
      </c>
      <c r="BK11" s="61">
        <f t="shared" si="33"/>
        <v>6.9701804016374339E-2</v>
      </c>
      <c r="BL11" s="61">
        <f t="shared" si="33"/>
        <v>6.9343801309892178E-2</v>
      </c>
      <c r="BM11" s="61">
        <f t="shared" si="33"/>
        <v>6.8318378499028318E-2</v>
      </c>
      <c r="BN11" s="61">
        <f t="shared" si="33"/>
        <v>6.937843010290598E-2</v>
      </c>
      <c r="BO11" s="61">
        <f t="shared" si="33"/>
        <v>6.8131351802790591E-2</v>
      </c>
      <c r="BP11" s="61">
        <f t="shared" si="33"/>
        <v>6.7511934859161099E-2</v>
      </c>
      <c r="BQ11" s="61">
        <f t="shared" si="33"/>
        <v>6.7511934859161099E-2</v>
      </c>
      <c r="BR11" s="61">
        <f t="shared" si="33"/>
        <v>6.7298655379366162E-2</v>
      </c>
      <c r="BS11" s="61">
        <f t="shared" si="33"/>
        <v>6.7352612678490034E-2</v>
      </c>
      <c r="BT11" s="61">
        <f t="shared" si="33"/>
        <v>6.5866950901668289E-2</v>
      </c>
      <c r="BU11" s="61">
        <f t="shared" ref="BU11:CV11" si="34">((BU26-BU$30)/BU$30*BU$31+1)*$B$26/SUM($B$18:$B$29)</f>
        <v>6.4199000913507762E-2</v>
      </c>
      <c r="BV11" s="61">
        <f t="shared" si="34"/>
        <v>6.6530571710855205E-2</v>
      </c>
      <c r="BW11" s="61">
        <f t="shared" si="34"/>
        <v>6.6530571710855205E-2</v>
      </c>
      <c r="BX11" s="61">
        <f t="shared" si="34"/>
        <v>6.5904105568094215E-2</v>
      </c>
      <c r="BY11" s="61">
        <f t="shared" si="34"/>
        <v>6.7333804437609418E-2</v>
      </c>
      <c r="BZ11" s="61">
        <f t="shared" si="34"/>
        <v>6.4106850707050064E-2</v>
      </c>
      <c r="CA11" s="61">
        <f t="shared" si="34"/>
        <v>7.0017898637675588E-2</v>
      </c>
      <c r="CB11" s="61">
        <f t="shared" si="34"/>
        <v>6.7388284163494905E-2</v>
      </c>
      <c r="CC11" s="61">
        <f t="shared" si="34"/>
        <v>7.085385955104391E-2</v>
      </c>
      <c r="CD11" s="61">
        <f t="shared" si="34"/>
        <v>6.9375664898449804E-2</v>
      </c>
      <c r="CE11" s="61">
        <f t="shared" si="34"/>
        <v>7.1640885503281376E-2</v>
      </c>
      <c r="CF11" s="61">
        <f t="shared" si="34"/>
        <v>6.4744846942248219E-2</v>
      </c>
      <c r="CG11" s="61">
        <f t="shared" si="34"/>
        <v>7.084962451661328E-2</v>
      </c>
      <c r="CH11" s="61">
        <f t="shared" si="34"/>
        <v>6.8934178995051262E-2</v>
      </c>
      <c r="CI11" s="61">
        <f t="shared" si="34"/>
        <v>7.0597885004921812E-2</v>
      </c>
      <c r="CJ11" s="61">
        <f t="shared" si="34"/>
        <v>7.1337678914576194E-2</v>
      </c>
      <c r="CK11" s="61">
        <f t="shared" si="34"/>
        <v>6.9365430768598219E-2</v>
      </c>
      <c r="CL11" s="61">
        <f t="shared" si="34"/>
        <v>6.8324695585570999E-2</v>
      </c>
      <c r="CM11" s="61">
        <f t="shared" si="34"/>
        <v>6.8324695585570999E-2</v>
      </c>
      <c r="CN11" s="61">
        <f t="shared" si="34"/>
        <v>6.5962907352784275E-2</v>
      </c>
      <c r="CO11" s="61">
        <f t="shared" si="34"/>
        <v>6.5962907352784275E-2</v>
      </c>
      <c r="CP11" s="61">
        <v>8.879521705497502E-2</v>
      </c>
      <c r="CQ11" s="61">
        <v>9.5660716664446518E-2</v>
      </c>
      <c r="CR11" s="61" t="s">
        <v>47</v>
      </c>
      <c r="CS11" s="61">
        <f t="shared" si="34"/>
        <v>6.7739250183364963E-2</v>
      </c>
      <c r="CT11" s="61">
        <f t="shared" si="34"/>
        <v>7.0750032068848084E-2</v>
      </c>
      <c r="CU11" s="61">
        <f t="shared" si="34"/>
        <v>6.8652606582128031E-2</v>
      </c>
      <c r="CV11" s="61">
        <f t="shared" si="34"/>
        <v>6.5427552174376985E-2</v>
      </c>
      <c r="CW11" s="62">
        <v>9.2704102089351273E-2</v>
      </c>
      <c r="CX11" s="62">
        <v>8.7160346548126655E-2</v>
      </c>
      <c r="CY11" s="61">
        <f t="shared" ref="CY11" si="35">((CY26-CY$30)/CY$30*CY$31+1)*$B$26/SUM($B$18:$B$29)</f>
        <v>6.2991563703097053E-2</v>
      </c>
      <c r="DA11" s="118"/>
      <c r="DB11" s="62"/>
    </row>
    <row r="12" spans="3:106" x14ac:dyDescent="0.35">
      <c r="C12" s="63" t="s">
        <v>273</v>
      </c>
      <c r="D12" s="61">
        <f>((D27-D$30)/D$30*D$31+1)*$B$27/SUM($B$18:$B$29)</f>
        <v>9.4185830268929502E-2</v>
      </c>
      <c r="E12" s="61">
        <f t="shared" ref="E12:H12" si="36">((E27-E$30)/E$30*E$31+1)*$B$27/SUM($B$18:$B$29)</f>
        <v>9.4185830268929502E-2</v>
      </c>
      <c r="F12" s="61">
        <f t="shared" si="36"/>
        <v>9.7255211137981579E-2</v>
      </c>
      <c r="G12" s="61">
        <f t="shared" si="36"/>
        <v>9.6818993443483062E-2</v>
      </c>
      <c r="H12" s="61">
        <f t="shared" si="36"/>
        <v>9.6523761762678406E-2</v>
      </c>
      <c r="I12" s="61">
        <f t="shared" ref="I12:BT12" si="37">((I27-I$30)/I$30*I$31+1)*$B$27/SUM($B$18:$B$29)</f>
        <v>9.6523761762678406E-2</v>
      </c>
      <c r="J12" s="61">
        <f t="shared" si="37"/>
        <v>9.6523761762678406E-2</v>
      </c>
      <c r="K12" s="61">
        <f t="shared" si="37"/>
        <v>9.6523761762678406E-2</v>
      </c>
      <c r="L12" s="61">
        <f t="shared" si="37"/>
        <v>8.0224019654007217E-2</v>
      </c>
      <c r="M12" s="61">
        <f t="shared" si="37"/>
        <v>8.0224019654007217E-2</v>
      </c>
      <c r="N12" s="61">
        <f t="shared" si="37"/>
        <v>7.9880601405642765E-2</v>
      </c>
      <c r="O12" s="61">
        <f t="shared" si="37"/>
        <v>8.9256324780972798E-2</v>
      </c>
      <c r="P12" s="61">
        <f t="shared" si="37"/>
        <v>8.411841604954283E-2</v>
      </c>
      <c r="Q12" s="61">
        <f t="shared" si="37"/>
        <v>9.6622367600181655E-2</v>
      </c>
      <c r="R12" s="61">
        <f t="shared" si="37"/>
        <v>9.676352572628745E-2</v>
      </c>
      <c r="S12" s="61">
        <f t="shared" si="37"/>
        <v>9.676352572628745E-2</v>
      </c>
      <c r="T12" s="61">
        <f t="shared" si="37"/>
        <v>9.676352572628745E-2</v>
      </c>
      <c r="U12" s="61">
        <f t="shared" si="37"/>
        <v>9.0632636929033811E-2</v>
      </c>
      <c r="V12" s="61">
        <f t="shared" si="37"/>
        <v>9.3657699452557322E-2</v>
      </c>
      <c r="W12" s="61">
        <f t="shared" si="37"/>
        <v>9.3657699452557322E-2</v>
      </c>
      <c r="X12" s="61">
        <f t="shared" si="37"/>
        <v>9.3657699452557322E-2</v>
      </c>
      <c r="Y12" s="61">
        <f t="shared" si="37"/>
        <v>9.3657699452557322E-2</v>
      </c>
      <c r="Z12" s="61">
        <f t="shared" si="37"/>
        <v>9.4570104362217411E-2</v>
      </c>
      <c r="AA12" s="61">
        <f t="shared" si="37"/>
        <v>8.7137188763969461E-2</v>
      </c>
      <c r="AB12" s="61">
        <f t="shared" si="37"/>
        <v>8.7137188763969461E-2</v>
      </c>
      <c r="AC12" s="61">
        <f t="shared" si="37"/>
        <v>8.7137188763969461E-2</v>
      </c>
      <c r="AD12" s="61">
        <f t="shared" si="37"/>
        <v>8.7137188763969461E-2</v>
      </c>
      <c r="AE12" s="61">
        <f t="shared" si="37"/>
        <v>9.5260624855399642E-2</v>
      </c>
      <c r="AF12" s="61">
        <f t="shared" si="37"/>
        <v>9.5260624855399642E-2</v>
      </c>
      <c r="AG12" s="61">
        <f t="shared" si="37"/>
        <v>9.5434046906587744E-2</v>
      </c>
      <c r="AH12" s="61">
        <f t="shared" si="37"/>
        <v>9.5434046906587744E-2</v>
      </c>
      <c r="AI12" s="61">
        <f t="shared" si="37"/>
        <v>9.0897605150486852E-2</v>
      </c>
      <c r="AJ12" s="61">
        <f t="shared" si="37"/>
        <v>9.3785821901772135E-2</v>
      </c>
      <c r="AK12" s="61">
        <f t="shared" si="37"/>
        <v>8.8807603001207019E-2</v>
      </c>
      <c r="AL12" s="61">
        <f t="shared" si="37"/>
        <v>9.8471090832355848E-2</v>
      </c>
      <c r="AM12" s="61">
        <f t="shared" si="37"/>
        <v>8.7362779114156561E-2</v>
      </c>
      <c r="AN12" s="61">
        <f t="shared" si="37"/>
        <v>8.7362779114156561E-2</v>
      </c>
      <c r="AO12" s="61">
        <f t="shared" si="37"/>
        <v>9.6026968691410294E-2</v>
      </c>
      <c r="AP12" s="61">
        <f t="shared" si="37"/>
        <v>9.6026968691410294E-2</v>
      </c>
      <c r="AQ12" s="61">
        <f t="shared" si="37"/>
        <v>9.6026968691410294E-2</v>
      </c>
      <c r="AR12" s="61">
        <f t="shared" si="37"/>
        <v>0.1026927466739281</v>
      </c>
      <c r="AS12" s="61">
        <f t="shared" si="37"/>
        <v>9.6124469158368975E-2</v>
      </c>
      <c r="AT12" s="61">
        <f t="shared" si="37"/>
        <v>9.6124469158368975E-2</v>
      </c>
      <c r="AU12" s="61">
        <f t="shared" si="37"/>
        <v>9.6124469158368975E-2</v>
      </c>
      <c r="AV12" s="61">
        <f t="shared" si="37"/>
        <v>9.3051833774998746E-2</v>
      </c>
      <c r="AW12" s="61">
        <f t="shared" si="37"/>
        <v>8.963049991109312E-2</v>
      </c>
      <c r="AX12" s="61">
        <f t="shared" si="37"/>
        <v>8.963049991109312E-2</v>
      </c>
      <c r="AY12" s="61">
        <f t="shared" si="37"/>
        <v>8.963049991109312E-2</v>
      </c>
      <c r="AZ12" s="61">
        <f t="shared" si="37"/>
        <v>8.4513951661289083E-2</v>
      </c>
      <c r="BA12" s="61">
        <f t="shared" si="37"/>
        <v>8.4513951661289083E-2</v>
      </c>
      <c r="BB12" s="61">
        <f t="shared" si="37"/>
        <v>9.3496342205144398E-2</v>
      </c>
      <c r="BC12" s="61">
        <f t="shared" si="37"/>
        <v>9.6124379995255818E-2</v>
      </c>
      <c r="BD12" s="61">
        <f t="shared" si="37"/>
        <v>8.9491844142756335E-2</v>
      </c>
      <c r="BE12" s="61">
        <f t="shared" si="37"/>
        <v>9.0296185985618588E-2</v>
      </c>
      <c r="BF12" s="61">
        <f t="shared" si="37"/>
        <v>9.0296185985618588E-2</v>
      </c>
      <c r="BG12" s="61">
        <f t="shared" si="37"/>
        <v>9.3492267652300953E-2</v>
      </c>
      <c r="BH12" s="61">
        <f t="shared" si="37"/>
        <v>9.7575295914267765E-2</v>
      </c>
      <c r="BI12" s="61">
        <f t="shared" si="37"/>
        <v>9.7575295914267765E-2</v>
      </c>
      <c r="BJ12" s="61">
        <f t="shared" si="37"/>
        <v>9.3430522882735262E-2</v>
      </c>
      <c r="BK12" s="61">
        <f t="shared" si="37"/>
        <v>9.3430522882735262E-2</v>
      </c>
      <c r="BL12" s="61">
        <f t="shared" si="37"/>
        <v>9.6879422687572103E-2</v>
      </c>
      <c r="BM12" s="61">
        <f t="shared" si="37"/>
        <v>9.5338253377172125E-2</v>
      </c>
      <c r="BN12" s="61">
        <f t="shared" si="37"/>
        <v>9.3864001788913173E-2</v>
      </c>
      <c r="BO12" s="61">
        <f t="shared" si="37"/>
        <v>9.0121121561969081E-2</v>
      </c>
      <c r="BP12" s="61">
        <f t="shared" si="37"/>
        <v>9.8240657229412789E-2</v>
      </c>
      <c r="BQ12" s="61">
        <f t="shared" si="37"/>
        <v>9.8240657229412789E-2</v>
      </c>
      <c r="BR12" s="61">
        <f t="shared" si="37"/>
        <v>9.0717232201494483E-2</v>
      </c>
      <c r="BS12" s="61">
        <f t="shared" si="37"/>
        <v>9.0559973044224806E-2</v>
      </c>
      <c r="BT12" s="61">
        <f t="shared" si="37"/>
        <v>9.5676763089550837E-2</v>
      </c>
      <c r="BU12" s="61">
        <f t="shared" ref="BU12:CV12" si="38">((BU27-BU$30)/BU$30*BU$31+1)*$B$27/SUM($B$18:$B$29)</f>
        <v>9.7072835767330085E-2</v>
      </c>
      <c r="BV12" s="61">
        <f t="shared" si="38"/>
        <v>9.6594471217031921E-2</v>
      </c>
      <c r="BW12" s="61">
        <f t="shared" si="38"/>
        <v>9.6594471217031921E-2</v>
      </c>
      <c r="BX12" s="61">
        <f t="shared" si="38"/>
        <v>9.5521494596572831E-2</v>
      </c>
      <c r="BY12" s="61">
        <f t="shared" si="38"/>
        <v>9.4283438747964785E-2</v>
      </c>
      <c r="BZ12" s="61">
        <f t="shared" si="38"/>
        <v>7.4284383235269091E-2</v>
      </c>
      <c r="CA12" s="61">
        <f t="shared" si="38"/>
        <v>9.3810432592555157E-2</v>
      </c>
      <c r="CB12" s="61">
        <f t="shared" si="38"/>
        <v>9.2389716515357559E-2</v>
      </c>
      <c r="CC12" s="61">
        <f t="shared" si="38"/>
        <v>9.1670954757210238E-2</v>
      </c>
      <c r="CD12" s="61">
        <f t="shared" si="38"/>
        <v>9.537476857366016E-2</v>
      </c>
      <c r="CE12" s="61">
        <f t="shared" si="38"/>
        <v>9.3890145500979849E-2</v>
      </c>
      <c r="CF12" s="61">
        <f t="shared" si="38"/>
        <v>8.7357126763645668E-2</v>
      </c>
      <c r="CG12" s="61">
        <f t="shared" si="38"/>
        <v>9.4498825914885662E-2</v>
      </c>
      <c r="CH12" s="61">
        <f t="shared" si="38"/>
        <v>9.2978589993247193E-2</v>
      </c>
      <c r="CI12" s="61">
        <f t="shared" si="38"/>
        <v>9.3153501002904218E-2</v>
      </c>
      <c r="CJ12" s="61">
        <f t="shared" si="38"/>
        <v>9.5167151139777043E-2</v>
      </c>
      <c r="CK12" s="61">
        <f t="shared" si="38"/>
        <v>9.4991377744048699E-2</v>
      </c>
      <c r="CL12" s="61">
        <f t="shared" si="38"/>
        <v>9.8056820679861295E-2</v>
      </c>
      <c r="CM12" s="61">
        <f t="shared" si="38"/>
        <v>9.8056820679861295E-2</v>
      </c>
      <c r="CN12" s="61">
        <f t="shared" si="38"/>
        <v>8.4513951661289083E-2</v>
      </c>
      <c r="CO12" s="61">
        <f t="shared" si="38"/>
        <v>8.4513951661289083E-2</v>
      </c>
      <c r="CP12" s="61">
        <v>6.9790615043725648E-2</v>
      </c>
      <c r="CQ12" s="61">
        <v>7.5529505794591723E-2</v>
      </c>
      <c r="CR12" s="61" t="s">
        <v>47</v>
      </c>
      <c r="CS12" s="61">
        <f t="shared" si="38"/>
        <v>8.0303270019014397E-2</v>
      </c>
      <c r="CT12" s="61">
        <f t="shared" si="38"/>
        <v>9.5031653786903883E-2</v>
      </c>
      <c r="CU12" s="61">
        <f t="shared" si="38"/>
        <v>9.4661247980677612E-2</v>
      </c>
      <c r="CV12" s="61">
        <f t="shared" si="38"/>
        <v>8.8120116491886599E-2</v>
      </c>
      <c r="CW12" s="62">
        <v>6.2084904732551245E-2</v>
      </c>
      <c r="CX12" s="62">
        <v>6.5126004717409064E-2</v>
      </c>
      <c r="CY12" s="61">
        <f t="shared" ref="CY12" si="39">((CY27-CY$30)/CY$30*CY$31+1)*$B$27/SUM($B$18:$B$29)</f>
        <v>8.8428963029727164E-2</v>
      </c>
      <c r="DA12" s="118"/>
      <c r="DB12" s="62"/>
    </row>
    <row r="13" spans="3:106" x14ac:dyDescent="0.35">
      <c r="C13" s="63" t="s">
        <v>274</v>
      </c>
      <c r="D13" s="61">
        <f>((D28-D$30)/D$30*D$31+1)*$B$28/SUM($B$18:$B$29)</f>
        <v>8.9930989322154709E-2</v>
      </c>
      <c r="E13" s="61">
        <f t="shared" ref="E13:H13" si="40">((E28-E$30)/E$30*E$31+1)*$B$28/SUM($B$18:$B$29)</f>
        <v>8.9930989322154709E-2</v>
      </c>
      <c r="F13" s="61">
        <f t="shared" si="40"/>
        <v>0.10310675319921361</v>
      </c>
      <c r="G13" s="61">
        <f t="shared" si="40"/>
        <v>0.10298535610240701</v>
      </c>
      <c r="H13" s="61">
        <f t="shared" si="40"/>
        <v>0.10807955242804947</v>
      </c>
      <c r="I13" s="61">
        <f t="shared" ref="I13:BT13" si="41">((I28-I$30)/I$30*I$31+1)*$B$28/SUM($B$18:$B$29)</f>
        <v>0.10807955242804947</v>
      </c>
      <c r="J13" s="61">
        <f t="shared" si="41"/>
        <v>0.10807955242804947</v>
      </c>
      <c r="K13" s="61">
        <f t="shared" si="41"/>
        <v>0.10807955242804947</v>
      </c>
      <c r="L13" s="61">
        <f t="shared" si="41"/>
        <v>0.10114398319660732</v>
      </c>
      <c r="M13" s="61">
        <f t="shared" si="41"/>
        <v>0.10114398319660732</v>
      </c>
      <c r="N13" s="61">
        <f t="shared" si="41"/>
        <v>0.10254801714305264</v>
      </c>
      <c r="O13" s="61">
        <f t="shared" si="41"/>
        <v>0.10302594407492925</v>
      </c>
      <c r="P13" s="61">
        <f t="shared" si="41"/>
        <v>9.8653062492153207E-2</v>
      </c>
      <c r="Q13" s="61">
        <f t="shared" si="41"/>
        <v>0.10255693573876949</v>
      </c>
      <c r="R13" s="61">
        <f t="shared" si="41"/>
        <v>9.9099913659756858E-2</v>
      </c>
      <c r="S13" s="61">
        <f t="shared" si="41"/>
        <v>9.9099913659756858E-2</v>
      </c>
      <c r="T13" s="61">
        <f t="shared" si="41"/>
        <v>9.9099913659756858E-2</v>
      </c>
      <c r="U13" s="61">
        <f t="shared" si="41"/>
        <v>9.4934940814155891E-2</v>
      </c>
      <c r="V13" s="61">
        <f t="shared" si="41"/>
        <v>9.7038650849787897E-2</v>
      </c>
      <c r="W13" s="61">
        <f t="shared" si="41"/>
        <v>9.7038650849787897E-2</v>
      </c>
      <c r="X13" s="61">
        <f t="shared" si="41"/>
        <v>9.7038650849787897E-2</v>
      </c>
      <c r="Y13" s="61">
        <f t="shared" si="41"/>
        <v>9.7038650849787897E-2</v>
      </c>
      <c r="Z13" s="61">
        <f t="shared" si="41"/>
        <v>9.7855258746778945E-2</v>
      </c>
      <c r="AA13" s="61">
        <f t="shared" si="41"/>
        <v>9.6012730159212981E-2</v>
      </c>
      <c r="AB13" s="61">
        <f t="shared" si="41"/>
        <v>9.6012730159212981E-2</v>
      </c>
      <c r="AC13" s="61">
        <f t="shared" si="41"/>
        <v>9.6012730159212981E-2</v>
      </c>
      <c r="AD13" s="61">
        <f t="shared" si="41"/>
        <v>9.6012730159212981E-2</v>
      </c>
      <c r="AE13" s="61">
        <f t="shared" si="41"/>
        <v>9.7093007864655204E-2</v>
      </c>
      <c r="AF13" s="61">
        <f t="shared" si="41"/>
        <v>9.7093007864655204E-2</v>
      </c>
      <c r="AG13" s="61">
        <f t="shared" si="41"/>
        <v>9.7549578841928608E-2</v>
      </c>
      <c r="AH13" s="61">
        <f t="shared" si="41"/>
        <v>9.7549578841928608E-2</v>
      </c>
      <c r="AI13" s="61">
        <f t="shared" si="41"/>
        <v>9.1173811342178418E-2</v>
      </c>
      <c r="AJ13" s="61">
        <f t="shared" si="41"/>
        <v>0.10955347628777237</v>
      </c>
      <c r="AK13" s="61">
        <f t="shared" si="41"/>
        <v>0.10376653438535126</v>
      </c>
      <c r="AL13" s="61">
        <f t="shared" si="41"/>
        <v>9.9280916692100887E-2</v>
      </c>
      <c r="AM13" s="61">
        <f t="shared" si="41"/>
        <v>9.8580334998101329E-2</v>
      </c>
      <c r="AN13" s="61">
        <f t="shared" si="41"/>
        <v>9.8580334998101329E-2</v>
      </c>
      <c r="AO13" s="61">
        <f t="shared" si="41"/>
        <v>9.9380515432850772E-2</v>
      </c>
      <c r="AP13" s="61">
        <f t="shared" si="41"/>
        <v>9.9380515432850772E-2</v>
      </c>
      <c r="AQ13" s="61">
        <f t="shared" si="41"/>
        <v>9.9380515432850772E-2</v>
      </c>
      <c r="AR13" s="61">
        <f t="shared" si="41"/>
        <v>0.10318318244155716</v>
      </c>
      <c r="AS13" s="61">
        <f t="shared" si="41"/>
        <v>9.7190019010339565E-2</v>
      </c>
      <c r="AT13" s="61">
        <f t="shared" si="41"/>
        <v>9.7190019010339565E-2</v>
      </c>
      <c r="AU13" s="61">
        <f t="shared" si="41"/>
        <v>9.7190019010339565E-2</v>
      </c>
      <c r="AV13" s="61">
        <f t="shared" si="41"/>
        <v>9.6827972111222585E-2</v>
      </c>
      <c r="AW13" s="61">
        <f t="shared" si="41"/>
        <v>0.10197701334045904</v>
      </c>
      <c r="AX13" s="61">
        <f t="shared" si="41"/>
        <v>0.10197701334045904</v>
      </c>
      <c r="AY13" s="61">
        <f t="shared" si="41"/>
        <v>0.10197701334045904</v>
      </c>
      <c r="AZ13" s="61">
        <f t="shared" si="41"/>
        <v>0.10376010273101408</v>
      </c>
      <c r="BA13" s="61">
        <f t="shared" si="41"/>
        <v>0.10376010273101408</v>
      </c>
      <c r="BB13" s="61">
        <f t="shared" si="41"/>
        <v>9.830221302945627E-2</v>
      </c>
      <c r="BC13" s="61">
        <f t="shared" si="41"/>
        <v>9.9531126715111801E-2</v>
      </c>
      <c r="BD13" s="61">
        <f t="shared" si="41"/>
        <v>9.8128343861532116E-2</v>
      </c>
      <c r="BE13" s="61">
        <f t="shared" si="41"/>
        <v>9.9770849203309697E-2</v>
      </c>
      <c r="BF13" s="61">
        <f t="shared" si="41"/>
        <v>9.9770849203309697E-2</v>
      </c>
      <c r="BG13" s="61">
        <f t="shared" si="41"/>
        <v>9.3658602768831492E-2</v>
      </c>
      <c r="BH13" s="61">
        <f t="shared" si="41"/>
        <v>0.10000287142241374</v>
      </c>
      <c r="BI13" s="61">
        <f t="shared" si="41"/>
        <v>0.10000287142241374</v>
      </c>
      <c r="BJ13" s="61">
        <f t="shared" si="41"/>
        <v>9.573283062224712E-2</v>
      </c>
      <c r="BK13" s="61">
        <f t="shared" si="41"/>
        <v>9.573283062224712E-2</v>
      </c>
      <c r="BL13" s="61">
        <f t="shared" si="41"/>
        <v>9.9249374330809603E-2</v>
      </c>
      <c r="BM13" s="61">
        <f t="shared" si="41"/>
        <v>9.7846708827694515E-2</v>
      </c>
      <c r="BN13" s="61">
        <f t="shared" si="41"/>
        <v>9.5172845002229819E-2</v>
      </c>
      <c r="BO13" s="61">
        <f t="shared" si="41"/>
        <v>9.6198236247251268E-2</v>
      </c>
      <c r="BP13" s="61">
        <f t="shared" si="41"/>
        <v>9.9385530010742851E-2</v>
      </c>
      <c r="BQ13" s="61">
        <f t="shared" si="41"/>
        <v>9.9385530010742851E-2</v>
      </c>
      <c r="BR13" s="61">
        <f t="shared" si="41"/>
        <v>9.440126164436495E-2</v>
      </c>
      <c r="BS13" s="61">
        <f t="shared" si="41"/>
        <v>9.4206497672580103E-2</v>
      </c>
      <c r="BT13" s="61">
        <f t="shared" si="41"/>
        <v>0.10323980418717897</v>
      </c>
      <c r="BU13" s="61">
        <f t="shared" ref="BU13:CV13" si="42">((BU28-BU$30)/BU$30*BU$31+1)*$B$28/SUM($B$18:$B$29)</f>
        <v>0.10222416241404568</v>
      </c>
      <c r="BV13" s="61">
        <f t="shared" si="42"/>
        <v>9.8927638476178234E-2</v>
      </c>
      <c r="BW13" s="61">
        <f t="shared" si="42"/>
        <v>9.8927638476178234E-2</v>
      </c>
      <c r="BX13" s="61">
        <f t="shared" si="42"/>
        <v>9.8952384877864966E-2</v>
      </c>
      <c r="BY13" s="61">
        <f t="shared" si="42"/>
        <v>9.6280653527623897E-2</v>
      </c>
      <c r="BZ13" s="61">
        <f t="shared" si="42"/>
        <v>9.3616117910791899E-2</v>
      </c>
      <c r="CA13" s="61">
        <f t="shared" si="42"/>
        <v>9.4129557047883158E-2</v>
      </c>
      <c r="CB13" s="61">
        <f t="shared" si="42"/>
        <v>9.6580382828909545E-2</v>
      </c>
      <c r="CC13" s="61">
        <f t="shared" si="42"/>
        <v>9.2574050736274463E-2</v>
      </c>
      <c r="CD13" s="61">
        <f t="shared" si="42"/>
        <v>9.3613177095423161E-2</v>
      </c>
      <c r="CE13" s="61">
        <f t="shared" si="42"/>
        <v>9.1887121499850746E-2</v>
      </c>
      <c r="CF13" s="61">
        <f t="shared" si="42"/>
        <v>9.4936943176498576E-2</v>
      </c>
      <c r="CG13" s="61">
        <f t="shared" si="42"/>
        <v>9.2616562664006613E-2</v>
      </c>
      <c r="CH13" s="61">
        <f t="shared" si="42"/>
        <v>9.398353781621463E-2</v>
      </c>
      <c r="CI13" s="61">
        <f t="shared" si="42"/>
        <v>9.3965885115840905E-2</v>
      </c>
      <c r="CJ13" s="61">
        <f t="shared" si="42"/>
        <v>9.6006511607283629E-2</v>
      </c>
      <c r="CK13" s="61">
        <f t="shared" si="42"/>
        <v>9.7529711781816353E-2</v>
      </c>
      <c r="CL13" s="61">
        <f t="shared" si="42"/>
        <v>9.9592636611006174E-2</v>
      </c>
      <c r="CM13" s="61">
        <f t="shared" si="42"/>
        <v>9.9592636611006174E-2</v>
      </c>
      <c r="CN13" s="61">
        <f t="shared" si="42"/>
        <v>0.10376010273101408</v>
      </c>
      <c r="CO13" s="61">
        <f t="shared" si="42"/>
        <v>0.10376010273101408</v>
      </c>
      <c r="CP13" s="61">
        <v>4.9946899870199679E-2</v>
      </c>
      <c r="CQ13" s="61">
        <v>4.6073664579725594E-2</v>
      </c>
      <c r="CR13" s="61" t="s">
        <v>47</v>
      </c>
      <c r="CS13" s="61">
        <f t="shared" si="42"/>
        <v>0.10081997536281224</v>
      </c>
      <c r="CT13" s="61">
        <f t="shared" si="42"/>
        <v>9.3335671286487953E-2</v>
      </c>
      <c r="CU13" s="61">
        <f t="shared" si="42"/>
        <v>9.649272221560902E-2</v>
      </c>
      <c r="CV13" s="61">
        <f t="shared" si="42"/>
        <v>0.10068680061318941</v>
      </c>
      <c r="CW13" s="62">
        <v>3.5807586982148004E-2</v>
      </c>
      <c r="CX13" s="62">
        <v>4.105413680486257E-2</v>
      </c>
      <c r="CY13" s="61">
        <f t="shared" ref="CY13" si="43">((CY28-CY$30)/CY$30*CY$31+1)*$B$28/SUM($B$18:$B$29)</f>
        <v>0.10360593685789113</v>
      </c>
      <c r="DA13" s="118"/>
      <c r="DB13" s="62"/>
    </row>
    <row r="14" spans="3:106" x14ac:dyDescent="0.35">
      <c r="C14" s="63" t="s">
        <v>275</v>
      </c>
      <c r="D14" s="61">
        <f>((D29-D$30)/D$30*D$31+1)*$B$29/SUM($B$18:$B$29)</f>
        <v>9.5048574300196267E-2</v>
      </c>
      <c r="E14" s="61">
        <f t="shared" ref="E14:H14" si="44">((E29-E$30)/E$30*E$31+1)*$B$29/SUM($B$18:$B$29)</f>
        <v>9.5048574300196267E-2</v>
      </c>
      <c r="F14" s="61">
        <f t="shared" si="44"/>
        <v>0.12584617153492239</v>
      </c>
      <c r="G14" s="61">
        <f t="shared" si="44"/>
        <v>0.12495269487287</v>
      </c>
      <c r="H14" s="61">
        <f t="shared" si="44"/>
        <v>0.11976670679590323</v>
      </c>
      <c r="I14" s="61">
        <f t="shared" ref="I14:BT14" si="45">((I29-I$30)/I$30*I$31+1)*$B$29/SUM($B$18:$B$29)</f>
        <v>0.11976670679590323</v>
      </c>
      <c r="J14" s="61">
        <f t="shared" si="45"/>
        <v>0.11976670679590323</v>
      </c>
      <c r="K14" s="61">
        <f t="shared" si="45"/>
        <v>0.11976670679590323</v>
      </c>
      <c r="L14" s="61">
        <f t="shared" si="45"/>
        <v>0.10821798914996925</v>
      </c>
      <c r="M14" s="61">
        <f t="shared" si="45"/>
        <v>0.10821798914996925</v>
      </c>
      <c r="N14" s="61">
        <f t="shared" si="45"/>
        <v>0.10994230728482927</v>
      </c>
      <c r="O14" s="61">
        <f t="shared" si="45"/>
        <v>0.11948090987216071</v>
      </c>
      <c r="P14" s="61">
        <f t="shared" si="45"/>
        <v>0.1023537324549573</v>
      </c>
      <c r="Q14" s="61">
        <f t="shared" si="45"/>
        <v>0.1232723894350914</v>
      </c>
      <c r="R14" s="61">
        <f t="shared" si="45"/>
        <v>0.11957492398544187</v>
      </c>
      <c r="S14" s="61">
        <f t="shared" si="45"/>
        <v>0.11957492398544187</v>
      </c>
      <c r="T14" s="61">
        <f t="shared" si="45"/>
        <v>0.11957492398544187</v>
      </c>
      <c r="U14" s="61">
        <f t="shared" si="45"/>
        <v>0.11880419633505293</v>
      </c>
      <c r="V14" s="61">
        <f t="shared" si="45"/>
        <v>0.11493481291133012</v>
      </c>
      <c r="W14" s="61">
        <f t="shared" si="45"/>
        <v>0.11493481291133012</v>
      </c>
      <c r="X14" s="61">
        <f t="shared" si="45"/>
        <v>0.11493481291133012</v>
      </c>
      <c r="Y14" s="61">
        <f t="shared" si="45"/>
        <v>0.11493481291133012</v>
      </c>
      <c r="Z14" s="61">
        <f t="shared" si="45"/>
        <v>0.11802390352124535</v>
      </c>
      <c r="AA14" s="61">
        <f t="shared" si="45"/>
        <v>0.11927968462281481</v>
      </c>
      <c r="AB14" s="61">
        <f t="shared" si="45"/>
        <v>0.11927968462281481</v>
      </c>
      <c r="AC14" s="61">
        <f t="shared" si="45"/>
        <v>0.11927968462281481</v>
      </c>
      <c r="AD14" s="61">
        <f t="shared" si="45"/>
        <v>0.11927968462281481</v>
      </c>
      <c r="AE14" s="61">
        <f t="shared" si="45"/>
        <v>0.11762149810653616</v>
      </c>
      <c r="AF14" s="61">
        <f t="shared" si="45"/>
        <v>0.11762149810653616</v>
      </c>
      <c r="AG14" s="61">
        <f t="shared" si="45"/>
        <v>0.11730246911705769</v>
      </c>
      <c r="AH14" s="61">
        <f t="shared" si="45"/>
        <v>0.11730246911705769</v>
      </c>
      <c r="AI14" s="61">
        <f t="shared" si="45"/>
        <v>9.6854423404561768E-2</v>
      </c>
      <c r="AJ14" s="61">
        <f t="shared" si="45"/>
        <v>0.13027853380168983</v>
      </c>
      <c r="AK14" s="61">
        <f t="shared" si="45"/>
        <v>0.12350910685860325</v>
      </c>
      <c r="AL14" s="61">
        <f t="shared" si="45"/>
        <v>0.12544713798873616</v>
      </c>
      <c r="AM14" s="61">
        <f t="shared" si="45"/>
        <v>0.12004901512954283</v>
      </c>
      <c r="AN14" s="61">
        <f t="shared" si="45"/>
        <v>0.12004901512954283</v>
      </c>
      <c r="AO14" s="61">
        <f t="shared" si="45"/>
        <v>0.12149538812195197</v>
      </c>
      <c r="AP14" s="61">
        <f t="shared" si="45"/>
        <v>0.12149538812195197</v>
      </c>
      <c r="AQ14" s="61">
        <f t="shared" si="45"/>
        <v>0.12149538812195197</v>
      </c>
      <c r="AR14" s="61">
        <f t="shared" si="45"/>
        <v>0.10171027787834118</v>
      </c>
      <c r="AS14" s="61">
        <f t="shared" si="45"/>
        <v>0.12217415265245021</v>
      </c>
      <c r="AT14" s="61">
        <f t="shared" si="45"/>
        <v>0.12217415265245021</v>
      </c>
      <c r="AU14" s="61">
        <f t="shared" si="45"/>
        <v>0.12217415265245021</v>
      </c>
      <c r="AV14" s="61">
        <f t="shared" si="45"/>
        <v>0.12162590529519454</v>
      </c>
      <c r="AW14" s="61">
        <f t="shared" si="45"/>
        <v>0.12445162861674446</v>
      </c>
      <c r="AX14" s="61">
        <f t="shared" si="45"/>
        <v>0.12445162861674446</v>
      </c>
      <c r="AY14" s="61">
        <f t="shared" si="45"/>
        <v>0.12445162861674446</v>
      </c>
      <c r="AZ14" s="61">
        <f t="shared" si="45"/>
        <v>0.10926280791330772</v>
      </c>
      <c r="BA14" s="61">
        <f t="shared" si="45"/>
        <v>0.10926280791330772</v>
      </c>
      <c r="BB14" s="61">
        <f t="shared" si="45"/>
        <v>0.12200753137019156</v>
      </c>
      <c r="BC14" s="61">
        <f t="shared" si="45"/>
        <v>0.1218152310365446</v>
      </c>
      <c r="BD14" s="61">
        <f t="shared" si="45"/>
        <v>0.12054840350825978</v>
      </c>
      <c r="BE14" s="61">
        <f t="shared" si="45"/>
        <v>0.11957250723000111</v>
      </c>
      <c r="BF14" s="61">
        <f t="shared" si="45"/>
        <v>0.11957250723000111</v>
      </c>
      <c r="BG14" s="61">
        <f t="shared" si="45"/>
        <v>0.10827853156670388</v>
      </c>
      <c r="BH14" s="61">
        <f t="shared" si="45"/>
        <v>0.11653002965287285</v>
      </c>
      <c r="BI14" s="61">
        <f t="shared" si="45"/>
        <v>0.11653002965287285</v>
      </c>
      <c r="BJ14" s="61">
        <f t="shared" si="45"/>
        <v>0.11172081567709123</v>
      </c>
      <c r="BK14" s="61">
        <f t="shared" si="45"/>
        <v>0.11172081567709123</v>
      </c>
      <c r="BL14" s="61">
        <f t="shared" si="45"/>
        <v>0.1145024017720556</v>
      </c>
      <c r="BM14" s="61">
        <f t="shared" si="45"/>
        <v>0.11492206668890052</v>
      </c>
      <c r="BN14" s="61">
        <f t="shared" si="45"/>
        <v>0.11181242726424828</v>
      </c>
      <c r="BO14" s="61">
        <f t="shared" si="45"/>
        <v>0.11187295700642612</v>
      </c>
      <c r="BP14" s="61">
        <f t="shared" si="45"/>
        <v>0.12342537693869565</v>
      </c>
      <c r="BQ14" s="61">
        <f t="shared" si="45"/>
        <v>0.12342537693869565</v>
      </c>
      <c r="BR14" s="61">
        <f t="shared" si="45"/>
        <v>0.11612757817287388</v>
      </c>
      <c r="BS14" s="61">
        <f t="shared" si="45"/>
        <v>0.11598288671762387</v>
      </c>
      <c r="BT14" s="61">
        <f t="shared" si="45"/>
        <v>0.11802131294130046</v>
      </c>
      <c r="BU14" s="61">
        <f t="shared" ref="BU14:CV14" si="46">((BU29-BU$30)/BU$30*BU$31+1)*$B$29/SUM($B$18:$B$29)</f>
        <v>0.11904041916710179</v>
      </c>
      <c r="BV14" s="61">
        <f t="shared" si="46"/>
        <v>0.11608918672830196</v>
      </c>
      <c r="BW14" s="61">
        <f t="shared" si="46"/>
        <v>0.11608918672830196</v>
      </c>
      <c r="BX14" s="61">
        <f t="shared" si="46"/>
        <v>0.11857068241618797</v>
      </c>
      <c r="BY14" s="61">
        <f t="shared" si="46"/>
        <v>0.11521384973489603</v>
      </c>
      <c r="BZ14" s="61">
        <f t="shared" si="46"/>
        <v>9.4320070132103556E-2</v>
      </c>
      <c r="CA14" s="61">
        <f t="shared" si="46"/>
        <v>0.11569448599062086</v>
      </c>
      <c r="CB14" s="61">
        <f t="shared" si="46"/>
        <v>0.11978342380264172</v>
      </c>
      <c r="CC14" s="61">
        <f t="shared" si="46"/>
        <v>0.11238662999149672</v>
      </c>
      <c r="CD14" s="61">
        <f t="shared" si="46"/>
        <v>0.11884819749605519</v>
      </c>
      <c r="CE14" s="61">
        <f t="shared" si="46"/>
        <v>0.11335968118123445</v>
      </c>
      <c r="CF14" s="61">
        <f t="shared" si="46"/>
        <v>0.11730874740147246</v>
      </c>
      <c r="CG14" s="61">
        <f t="shared" si="46"/>
        <v>0.11576126992292537</v>
      </c>
      <c r="CH14" s="61">
        <f t="shared" si="46"/>
        <v>0.11138679727953539</v>
      </c>
      <c r="CI14" s="61">
        <f t="shared" si="46"/>
        <v>0.10947665366762836</v>
      </c>
      <c r="CJ14" s="61">
        <f t="shared" si="46"/>
        <v>0.10941511914517217</v>
      </c>
      <c r="CK14" s="61">
        <f t="shared" si="46"/>
        <v>0.11311933957081051</v>
      </c>
      <c r="CL14" s="61">
        <f t="shared" si="46"/>
        <v>0.11587779745934593</v>
      </c>
      <c r="CM14" s="61">
        <f t="shared" si="46"/>
        <v>0.11587779745934593</v>
      </c>
      <c r="CN14" s="61">
        <f t="shared" si="46"/>
        <v>0.10926280791330772</v>
      </c>
      <c r="CO14" s="61">
        <f t="shared" si="46"/>
        <v>0.10926280791330772</v>
      </c>
      <c r="CP14" s="61">
        <v>4.8504674122536742E-2</v>
      </c>
      <c r="CQ14" s="61">
        <v>4.0195817237245239E-2</v>
      </c>
      <c r="CR14" s="61" t="s">
        <v>47</v>
      </c>
      <c r="CS14" s="61">
        <f t="shared" si="46"/>
        <v>0.10782006958038616</v>
      </c>
      <c r="CT14" s="61">
        <f t="shared" si="46"/>
        <v>0.1084388736629071</v>
      </c>
      <c r="CU14" s="61">
        <f t="shared" si="46"/>
        <v>0.11365212754042722</v>
      </c>
      <c r="CV14" s="61">
        <f t="shared" si="46"/>
        <v>0.11581313284022927</v>
      </c>
      <c r="CW14" s="62">
        <v>3.0576607099408518E-2</v>
      </c>
      <c r="CX14" s="62">
        <v>3.3606173455502132E-2</v>
      </c>
      <c r="CY14" s="61">
        <f t="shared" ref="CY14" si="47">((CY29-CY$30)/CY$30*CY$31+1)*$B$29/SUM($B$18:$B$29)</f>
        <v>0.11228691032980721</v>
      </c>
      <c r="DA14" s="118"/>
      <c r="DB14" s="62"/>
    </row>
    <row r="15" spans="3:106" x14ac:dyDescent="0.35">
      <c r="D15" s="58"/>
      <c r="E15" s="59"/>
      <c r="F15" s="60"/>
    </row>
    <row r="16" spans="3:106" x14ac:dyDescent="0.35">
      <c r="D16" s="59"/>
      <c r="E16" s="59"/>
    </row>
    <row r="17" spans="2:103" x14ac:dyDescent="0.35">
      <c r="B17" t="s">
        <v>276</v>
      </c>
      <c r="C17" t="s">
        <v>277</v>
      </c>
    </row>
    <row r="18" spans="2:103" x14ac:dyDescent="0.35">
      <c r="B18">
        <v>31</v>
      </c>
      <c r="C18" s="63" t="s">
        <v>264</v>
      </c>
      <c r="D18">
        <v>7.7729999999999997</v>
      </c>
      <c r="E18">
        <v>7.7729999999999997</v>
      </c>
      <c r="F18">
        <v>9.2759999999999998</v>
      </c>
      <c r="G18">
        <v>9.39</v>
      </c>
      <c r="H18">
        <v>7.423</v>
      </c>
      <c r="I18">
        <v>7.423</v>
      </c>
      <c r="J18">
        <v>7.423</v>
      </c>
      <c r="K18">
        <v>7.423</v>
      </c>
      <c r="L18">
        <v>10.093</v>
      </c>
      <c r="M18">
        <v>10.093</v>
      </c>
      <c r="N18">
        <v>10.093</v>
      </c>
      <c r="O18">
        <v>10.076000000000001</v>
      </c>
      <c r="P18">
        <v>7.992</v>
      </c>
      <c r="Q18">
        <v>9.548</v>
      </c>
      <c r="R18">
        <v>8.9760000000000009</v>
      </c>
      <c r="S18">
        <v>8.9760000000000009</v>
      </c>
      <c r="T18">
        <v>8.9760000000000009</v>
      </c>
      <c r="U18">
        <v>7.9939999999999998</v>
      </c>
      <c r="V18">
        <v>9.1419999999999995</v>
      </c>
      <c r="W18">
        <v>9.1419999999999995</v>
      </c>
      <c r="X18">
        <v>9.1419999999999995</v>
      </c>
      <c r="Y18">
        <v>9.1419999999999995</v>
      </c>
      <c r="Z18">
        <v>9.0909999999999993</v>
      </c>
      <c r="AA18">
        <v>7.8220000000000001</v>
      </c>
      <c r="AB18">
        <v>7.8220000000000001</v>
      </c>
      <c r="AC18">
        <v>7.8220000000000001</v>
      </c>
      <c r="AD18">
        <v>7.8220000000000001</v>
      </c>
      <c r="AE18">
        <v>8.9139999999999997</v>
      </c>
      <c r="AF18">
        <v>8.9139999999999997</v>
      </c>
      <c r="AG18">
        <v>8.27</v>
      </c>
      <c r="AH18">
        <v>8.27</v>
      </c>
      <c r="AI18">
        <v>7.3630000000000004</v>
      </c>
      <c r="AJ18">
        <v>9.6010000000000009</v>
      </c>
      <c r="AK18">
        <v>9.1310000000000002</v>
      </c>
      <c r="AL18">
        <v>8.0410000000000004</v>
      </c>
      <c r="AM18">
        <v>8.2080000000000002</v>
      </c>
      <c r="AN18">
        <v>8.2080000000000002</v>
      </c>
      <c r="AO18">
        <v>8.02</v>
      </c>
      <c r="AP18">
        <v>8.02</v>
      </c>
      <c r="AQ18">
        <v>8.02</v>
      </c>
      <c r="AR18">
        <v>7.6459999999999999</v>
      </c>
      <c r="AS18">
        <v>7.8390000000000004</v>
      </c>
      <c r="AT18">
        <v>7.8390000000000004</v>
      </c>
      <c r="AU18">
        <v>7.8390000000000004</v>
      </c>
      <c r="AV18">
        <v>7.89</v>
      </c>
      <c r="AW18">
        <v>8.2750000000000004</v>
      </c>
      <c r="AX18">
        <v>8.2750000000000004</v>
      </c>
      <c r="AY18">
        <v>8.2750000000000004</v>
      </c>
      <c r="AZ18">
        <v>9.7870000000000008</v>
      </c>
      <c r="BA18">
        <v>9.7870000000000008</v>
      </c>
      <c r="BB18">
        <v>7.9980000000000002</v>
      </c>
      <c r="BC18">
        <v>8.02</v>
      </c>
      <c r="BD18">
        <v>5.2009999999999996</v>
      </c>
      <c r="BE18">
        <v>7.8289999999999997</v>
      </c>
      <c r="BF18">
        <v>7.8289999999999997</v>
      </c>
      <c r="BG18">
        <v>8.1059999999999999</v>
      </c>
      <c r="BH18">
        <v>8.6419999999999995</v>
      </c>
      <c r="BI18">
        <v>8.6419999999999995</v>
      </c>
      <c r="BJ18">
        <v>8.6850000000000005</v>
      </c>
      <c r="BK18">
        <v>8.6850000000000005</v>
      </c>
      <c r="BL18">
        <v>8.6639999999999997</v>
      </c>
      <c r="BM18">
        <v>8.6639999999999997</v>
      </c>
      <c r="BN18">
        <v>8.577</v>
      </c>
      <c r="BO18">
        <v>7.9109999999999996</v>
      </c>
      <c r="BP18">
        <v>8.1240000000000006</v>
      </c>
      <c r="BQ18">
        <v>8.1240000000000006</v>
      </c>
      <c r="BR18">
        <v>8.07</v>
      </c>
      <c r="BS18">
        <v>8.048</v>
      </c>
      <c r="BT18">
        <v>8.3819999999999997</v>
      </c>
      <c r="BU18">
        <v>9.0980000000000008</v>
      </c>
      <c r="BV18">
        <v>9.0739999999999998</v>
      </c>
      <c r="BW18">
        <v>9.0739999999999998</v>
      </c>
      <c r="BX18">
        <v>8.7010000000000005</v>
      </c>
      <c r="BY18">
        <v>8.4440000000000008</v>
      </c>
      <c r="BZ18">
        <v>8.9369999999999994</v>
      </c>
      <c r="CA18">
        <v>7.6929999999999996</v>
      </c>
      <c r="CB18">
        <v>7.8070000000000004</v>
      </c>
      <c r="CC18">
        <v>7.5880000000000001</v>
      </c>
      <c r="CD18">
        <v>8.0250000000000004</v>
      </c>
      <c r="CE18">
        <v>7.9850000000000003</v>
      </c>
      <c r="CF18">
        <v>7.7960000000000003</v>
      </c>
      <c r="CG18">
        <v>7.9939999999999998</v>
      </c>
      <c r="CH18">
        <v>8.4540000000000006</v>
      </c>
      <c r="CI18">
        <v>8.2859999999999996</v>
      </c>
      <c r="CJ18">
        <v>8.6270000000000007</v>
      </c>
      <c r="CK18">
        <v>8.6270000000000007</v>
      </c>
      <c r="CL18">
        <v>8.5719999999999992</v>
      </c>
      <c r="CM18">
        <v>8.5719999999999992</v>
      </c>
      <c r="CN18">
        <v>9.7870000000000008</v>
      </c>
      <c r="CO18">
        <v>9.7870000000000008</v>
      </c>
      <c r="CS18">
        <v>10.093</v>
      </c>
      <c r="CT18">
        <v>7.89</v>
      </c>
      <c r="CU18">
        <v>8.593</v>
      </c>
      <c r="CV18">
        <v>8.2460000000000004</v>
      </c>
      <c r="CY18">
        <v>8.4459999999999997</v>
      </c>
    </row>
    <row r="19" spans="2:103" x14ac:dyDescent="0.35">
      <c r="B19">
        <v>28.25</v>
      </c>
      <c r="C19" s="63" t="s">
        <v>265</v>
      </c>
      <c r="D19">
        <v>7.819</v>
      </c>
      <c r="E19">
        <v>7.819</v>
      </c>
      <c r="F19">
        <v>8.6470000000000002</v>
      </c>
      <c r="G19">
        <v>8.7330000000000005</v>
      </c>
      <c r="H19">
        <v>7.2380000000000004</v>
      </c>
      <c r="I19">
        <v>7.2380000000000004</v>
      </c>
      <c r="J19">
        <v>7.2380000000000004</v>
      </c>
      <c r="K19">
        <v>7.2380000000000004</v>
      </c>
      <c r="L19">
        <v>9.9830000000000005</v>
      </c>
      <c r="M19">
        <v>9.9830000000000005</v>
      </c>
      <c r="N19">
        <v>9.9830000000000005</v>
      </c>
      <c r="O19">
        <v>9.5329999999999995</v>
      </c>
      <c r="P19">
        <v>7.9829999999999997</v>
      </c>
      <c r="Q19">
        <v>8.8780000000000001</v>
      </c>
      <c r="R19">
        <v>8.52</v>
      </c>
      <c r="S19">
        <v>8.52</v>
      </c>
      <c r="T19">
        <v>8.52</v>
      </c>
      <c r="U19">
        <v>7.7320000000000002</v>
      </c>
      <c r="V19">
        <v>8.5820000000000007</v>
      </c>
      <c r="W19">
        <v>8.5820000000000007</v>
      </c>
      <c r="X19">
        <v>8.5820000000000007</v>
      </c>
      <c r="Y19">
        <v>8.5820000000000007</v>
      </c>
      <c r="Z19">
        <v>8.4890000000000008</v>
      </c>
      <c r="AA19">
        <v>7.5739999999999998</v>
      </c>
      <c r="AB19">
        <v>7.5739999999999998</v>
      </c>
      <c r="AC19">
        <v>7.5739999999999998</v>
      </c>
      <c r="AD19">
        <v>7.5739999999999998</v>
      </c>
      <c r="AE19">
        <v>8.3699999999999992</v>
      </c>
      <c r="AF19">
        <v>8.3699999999999992</v>
      </c>
      <c r="AG19">
        <v>7.8630000000000004</v>
      </c>
      <c r="AH19">
        <v>7.8630000000000004</v>
      </c>
      <c r="AI19">
        <v>7.423</v>
      </c>
      <c r="AJ19">
        <v>9.06</v>
      </c>
      <c r="AK19">
        <v>8.7149999999999999</v>
      </c>
      <c r="AL19">
        <v>7.6379999999999999</v>
      </c>
      <c r="AM19">
        <v>7.9320000000000004</v>
      </c>
      <c r="AN19">
        <v>7.9320000000000004</v>
      </c>
      <c r="AO19">
        <v>7.6159999999999997</v>
      </c>
      <c r="AP19">
        <v>7.6159999999999997</v>
      </c>
      <c r="AQ19">
        <v>7.6159999999999997</v>
      </c>
      <c r="AR19">
        <v>7.569</v>
      </c>
      <c r="AS19">
        <v>7.5570000000000004</v>
      </c>
      <c r="AT19">
        <v>7.5570000000000004</v>
      </c>
      <c r="AU19">
        <v>7.5570000000000004</v>
      </c>
      <c r="AV19">
        <v>7.5339999999999998</v>
      </c>
      <c r="AW19">
        <v>8.0570000000000004</v>
      </c>
      <c r="AX19">
        <v>8.0570000000000004</v>
      </c>
      <c r="AY19">
        <v>8.0570000000000004</v>
      </c>
      <c r="AZ19">
        <v>9.6590000000000007</v>
      </c>
      <c r="BA19">
        <v>9.6590000000000007</v>
      </c>
      <c r="BB19">
        <v>7.6319999999999997</v>
      </c>
      <c r="BC19">
        <v>7.6159999999999997</v>
      </c>
      <c r="BD19">
        <v>4.8780000000000001</v>
      </c>
      <c r="BE19">
        <v>7.548</v>
      </c>
      <c r="BF19">
        <v>7.548</v>
      </c>
      <c r="BG19">
        <v>7.7229999999999999</v>
      </c>
      <c r="BH19">
        <v>8.1310000000000002</v>
      </c>
      <c r="BI19">
        <v>8.1310000000000002</v>
      </c>
      <c r="BJ19">
        <v>8.1720000000000006</v>
      </c>
      <c r="BK19">
        <v>8.1720000000000006</v>
      </c>
      <c r="BL19">
        <v>8.1010000000000009</v>
      </c>
      <c r="BM19">
        <v>8.173</v>
      </c>
      <c r="BN19">
        <v>8.1240000000000006</v>
      </c>
      <c r="BO19">
        <v>7.8470000000000004</v>
      </c>
      <c r="BP19">
        <v>7.6740000000000004</v>
      </c>
      <c r="BQ19">
        <v>7.6740000000000004</v>
      </c>
      <c r="BR19">
        <v>7.8</v>
      </c>
      <c r="BS19">
        <v>7.7850000000000001</v>
      </c>
      <c r="BT19">
        <v>7.9269999999999996</v>
      </c>
      <c r="BU19">
        <v>8.5790000000000006</v>
      </c>
      <c r="BV19">
        <v>8.5359999999999996</v>
      </c>
      <c r="BW19">
        <v>8.5359999999999996</v>
      </c>
      <c r="BX19">
        <v>8.2010000000000005</v>
      </c>
      <c r="BY19">
        <v>8.0559999999999992</v>
      </c>
      <c r="BZ19">
        <v>9.0779999999999994</v>
      </c>
      <c r="CA19">
        <v>7.4509999999999996</v>
      </c>
      <c r="CB19">
        <v>7.4740000000000002</v>
      </c>
      <c r="CC19">
        <v>7.423</v>
      </c>
      <c r="CD19">
        <v>7.6420000000000003</v>
      </c>
      <c r="CE19">
        <v>7.6210000000000004</v>
      </c>
      <c r="CF19">
        <v>7.8010000000000002</v>
      </c>
      <c r="CG19">
        <v>7.6349999999999998</v>
      </c>
      <c r="CH19">
        <v>8.0890000000000004</v>
      </c>
      <c r="CI19">
        <v>7.85</v>
      </c>
      <c r="CJ19">
        <v>8.1180000000000003</v>
      </c>
      <c r="CK19">
        <v>8.1110000000000007</v>
      </c>
      <c r="CL19">
        <v>8.0839999999999996</v>
      </c>
      <c r="CM19">
        <v>8.0839999999999996</v>
      </c>
      <c r="CN19">
        <v>9.6590000000000007</v>
      </c>
      <c r="CO19">
        <v>9.6590000000000007</v>
      </c>
      <c r="CS19">
        <v>9.9830000000000005</v>
      </c>
      <c r="CT19">
        <v>7.556</v>
      </c>
      <c r="CU19">
        <v>8.1319999999999997</v>
      </c>
      <c r="CV19">
        <v>7.7770000000000001</v>
      </c>
      <c r="CY19">
        <v>8.3089999999999993</v>
      </c>
    </row>
    <row r="20" spans="2:103" x14ac:dyDescent="0.35">
      <c r="B20">
        <v>31</v>
      </c>
      <c r="C20" s="63" t="s">
        <v>266</v>
      </c>
      <c r="D20">
        <v>7.9059999999999997</v>
      </c>
      <c r="E20">
        <v>7.9059999999999997</v>
      </c>
      <c r="F20">
        <v>7.9729999999999999</v>
      </c>
      <c r="G20">
        <v>8.0399999999999991</v>
      </c>
      <c r="H20">
        <v>6.9329999999999998</v>
      </c>
      <c r="I20">
        <v>6.9329999999999998</v>
      </c>
      <c r="J20">
        <v>6.9329999999999998</v>
      </c>
      <c r="K20">
        <v>6.9329999999999998</v>
      </c>
      <c r="L20">
        <v>9.3390000000000004</v>
      </c>
      <c r="M20">
        <v>9.3390000000000004</v>
      </c>
      <c r="N20">
        <v>9.3390000000000004</v>
      </c>
      <c r="O20">
        <v>8.6829999999999998</v>
      </c>
      <c r="P20">
        <v>7.7069999999999999</v>
      </c>
      <c r="Q20">
        <v>8.1560000000000006</v>
      </c>
      <c r="R20">
        <v>7.9480000000000004</v>
      </c>
      <c r="S20">
        <v>7.9480000000000004</v>
      </c>
      <c r="T20">
        <v>7.9480000000000004</v>
      </c>
      <c r="U20">
        <v>7.2670000000000003</v>
      </c>
      <c r="V20">
        <v>7.9279999999999999</v>
      </c>
      <c r="W20">
        <v>7.9279999999999999</v>
      </c>
      <c r="X20">
        <v>7.9279999999999999</v>
      </c>
      <c r="Y20">
        <v>7.9279999999999999</v>
      </c>
      <c r="Z20">
        <v>7.9</v>
      </c>
      <c r="AA20">
        <v>7.173</v>
      </c>
      <c r="AB20">
        <v>7.173</v>
      </c>
      <c r="AC20">
        <v>7.173</v>
      </c>
      <c r="AD20">
        <v>7.173</v>
      </c>
      <c r="AE20">
        <v>7.8220000000000001</v>
      </c>
      <c r="AF20">
        <v>7.8220000000000001</v>
      </c>
      <c r="AG20">
        <v>7.37</v>
      </c>
      <c r="AH20">
        <v>7.37</v>
      </c>
      <c r="AI20">
        <v>7.4909999999999997</v>
      </c>
      <c r="AJ20">
        <v>8.3010000000000002</v>
      </c>
      <c r="AK20">
        <v>8.1110000000000007</v>
      </c>
      <c r="AL20">
        <v>7.32</v>
      </c>
      <c r="AM20">
        <v>7.468</v>
      </c>
      <c r="AN20">
        <v>7.468</v>
      </c>
      <c r="AO20">
        <v>7.2409999999999997</v>
      </c>
      <c r="AP20">
        <v>7.2409999999999997</v>
      </c>
      <c r="AQ20">
        <v>7.2409999999999997</v>
      </c>
      <c r="AR20">
        <v>7.6340000000000003</v>
      </c>
      <c r="AS20">
        <v>7.3079999999999998</v>
      </c>
      <c r="AT20">
        <v>7.3079999999999998</v>
      </c>
      <c r="AU20">
        <v>7.3079999999999998</v>
      </c>
      <c r="AV20">
        <v>7.1120000000000001</v>
      </c>
      <c r="AW20">
        <v>7.4889999999999999</v>
      </c>
      <c r="AX20">
        <v>7.4889999999999999</v>
      </c>
      <c r="AY20">
        <v>7.4889999999999999</v>
      </c>
      <c r="AZ20">
        <v>9.1969999999999992</v>
      </c>
      <c r="BA20">
        <v>9.1969999999999992</v>
      </c>
      <c r="BB20">
        <v>7.2229999999999999</v>
      </c>
      <c r="BC20">
        <v>7.2409999999999997</v>
      </c>
      <c r="BD20">
        <v>4.4539999999999997</v>
      </c>
      <c r="BE20">
        <v>7.0620000000000003</v>
      </c>
      <c r="BF20">
        <v>7.0620000000000003</v>
      </c>
      <c r="BG20">
        <v>7.2930000000000001</v>
      </c>
      <c r="BH20">
        <v>7.5979999999999999</v>
      </c>
      <c r="BI20">
        <v>7.5979999999999999</v>
      </c>
      <c r="BJ20">
        <v>7.58</v>
      </c>
      <c r="BK20">
        <v>7.58</v>
      </c>
      <c r="BL20">
        <v>7.516</v>
      </c>
      <c r="BM20">
        <v>7.625</v>
      </c>
      <c r="BN20">
        <v>7.633</v>
      </c>
      <c r="BO20">
        <v>7.4480000000000004</v>
      </c>
      <c r="BP20">
        <v>7.3220000000000001</v>
      </c>
      <c r="BQ20">
        <v>7.3220000000000001</v>
      </c>
      <c r="BR20">
        <v>7.3129999999999997</v>
      </c>
      <c r="BS20">
        <v>7.3049999999999997</v>
      </c>
      <c r="BT20">
        <v>7.1859999999999999</v>
      </c>
      <c r="BU20">
        <v>7.8689999999999998</v>
      </c>
      <c r="BV20">
        <v>7.9029999999999996</v>
      </c>
      <c r="BW20">
        <v>7.9029999999999996</v>
      </c>
      <c r="BX20">
        <v>7.59</v>
      </c>
      <c r="BY20">
        <v>7.53</v>
      </c>
      <c r="BZ20">
        <v>8.52</v>
      </c>
      <c r="CA20">
        <v>7.2080000000000002</v>
      </c>
      <c r="CB20">
        <v>7.09</v>
      </c>
      <c r="CC20">
        <v>7.2140000000000004</v>
      </c>
      <c r="CD20">
        <v>7.3360000000000003</v>
      </c>
      <c r="CE20">
        <v>7.3390000000000004</v>
      </c>
      <c r="CF20">
        <v>7.4279999999999999</v>
      </c>
      <c r="CG20">
        <v>7.3620000000000001</v>
      </c>
      <c r="CH20">
        <v>7.5910000000000002</v>
      </c>
      <c r="CI20">
        <v>7.3659999999999997</v>
      </c>
      <c r="CJ20">
        <v>7.5949999999999998</v>
      </c>
      <c r="CK20">
        <v>7.532</v>
      </c>
      <c r="CL20">
        <v>7.58</v>
      </c>
      <c r="CM20">
        <v>7.58</v>
      </c>
      <c r="CN20">
        <v>9.1969999999999992</v>
      </c>
      <c r="CO20">
        <v>9.1969999999999992</v>
      </c>
      <c r="CS20">
        <v>9.3390000000000004</v>
      </c>
      <c r="CT20">
        <v>7.2670000000000003</v>
      </c>
      <c r="CU20">
        <v>7.6260000000000003</v>
      </c>
      <c r="CV20">
        <v>7.4829999999999997</v>
      </c>
      <c r="CY20">
        <v>7.7949999999999999</v>
      </c>
    </row>
    <row r="21" spans="2:103" x14ac:dyDescent="0.35">
      <c r="B21">
        <v>30</v>
      </c>
      <c r="C21" s="63" t="s">
        <v>267</v>
      </c>
      <c r="D21">
        <v>7.6059999999999999</v>
      </c>
      <c r="E21">
        <v>7.6059999999999999</v>
      </c>
      <c r="F21">
        <v>7.0650000000000004</v>
      </c>
      <c r="G21">
        <v>7.093</v>
      </c>
      <c r="H21">
        <v>6.6669999999999998</v>
      </c>
      <c r="I21">
        <v>6.6669999999999998</v>
      </c>
      <c r="J21">
        <v>6.6669999999999998</v>
      </c>
      <c r="K21">
        <v>6.6669999999999998</v>
      </c>
      <c r="L21">
        <v>8.6739999999999995</v>
      </c>
      <c r="M21">
        <v>8.6739999999999995</v>
      </c>
      <c r="N21">
        <v>8.6739999999999995</v>
      </c>
      <c r="O21">
        <v>8.1129999999999995</v>
      </c>
      <c r="P21">
        <v>7.5369999999999999</v>
      </c>
      <c r="Q21">
        <v>7.1959999999999997</v>
      </c>
      <c r="R21">
        <v>7.2220000000000004</v>
      </c>
      <c r="S21">
        <v>7.2220000000000004</v>
      </c>
      <c r="T21">
        <v>7.2220000000000004</v>
      </c>
      <c r="U21">
        <v>6.8120000000000003</v>
      </c>
      <c r="V21">
        <v>7.0990000000000002</v>
      </c>
      <c r="W21">
        <v>7.0990000000000002</v>
      </c>
      <c r="X21">
        <v>7.0990000000000002</v>
      </c>
      <c r="Y21">
        <v>7.0990000000000002</v>
      </c>
      <c r="Z21">
        <v>6.9989999999999997</v>
      </c>
      <c r="AA21">
        <v>6.8380000000000001</v>
      </c>
      <c r="AB21">
        <v>6.8380000000000001</v>
      </c>
      <c r="AC21">
        <v>6.8380000000000001</v>
      </c>
      <c r="AD21">
        <v>6.8380000000000001</v>
      </c>
      <c r="AE21">
        <v>7.0629999999999997</v>
      </c>
      <c r="AF21">
        <v>7.0629999999999997</v>
      </c>
      <c r="AG21">
        <v>6.7359999999999998</v>
      </c>
      <c r="AH21">
        <v>6.7359999999999998</v>
      </c>
      <c r="AI21">
        <v>7.1609999999999996</v>
      </c>
      <c r="AJ21">
        <v>7.65</v>
      </c>
      <c r="AK21">
        <v>7.6349999999999998</v>
      </c>
      <c r="AL21">
        <v>6.742</v>
      </c>
      <c r="AM21">
        <v>7.0430000000000001</v>
      </c>
      <c r="AN21">
        <v>7.0430000000000001</v>
      </c>
      <c r="AO21">
        <v>6.758</v>
      </c>
      <c r="AP21">
        <v>6.758</v>
      </c>
      <c r="AQ21">
        <v>6.758</v>
      </c>
      <c r="AR21">
        <v>7.5650000000000004</v>
      </c>
      <c r="AS21">
        <v>6.8259999999999996</v>
      </c>
      <c r="AT21">
        <v>6.8259999999999996</v>
      </c>
      <c r="AU21">
        <v>6.8259999999999996</v>
      </c>
      <c r="AV21">
        <v>6.59</v>
      </c>
      <c r="AW21">
        <v>7.06</v>
      </c>
      <c r="AX21">
        <v>7.06</v>
      </c>
      <c r="AY21">
        <v>7.06</v>
      </c>
      <c r="AZ21">
        <v>8.6750000000000007</v>
      </c>
      <c r="BA21">
        <v>8.6750000000000007</v>
      </c>
      <c r="BB21">
        <v>6.742</v>
      </c>
      <c r="BC21">
        <v>6.758</v>
      </c>
      <c r="BD21">
        <v>3.93</v>
      </c>
      <c r="BE21">
        <v>6.633</v>
      </c>
      <c r="BF21">
        <v>6.633</v>
      </c>
      <c r="BG21">
        <v>6.7030000000000003</v>
      </c>
      <c r="BH21">
        <v>6.9420000000000002</v>
      </c>
      <c r="BI21">
        <v>6.9420000000000002</v>
      </c>
      <c r="BJ21">
        <v>6.8630000000000004</v>
      </c>
      <c r="BK21">
        <v>6.8630000000000004</v>
      </c>
      <c r="BL21">
        <v>6.8150000000000004</v>
      </c>
      <c r="BM21">
        <v>6.9610000000000003</v>
      </c>
      <c r="BN21">
        <v>6.9829999999999997</v>
      </c>
      <c r="BO21">
        <v>7.0960000000000001</v>
      </c>
      <c r="BP21">
        <v>6.742</v>
      </c>
      <c r="BQ21">
        <v>6.742</v>
      </c>
      <c r="BR21">
        <v>6.8479999999999999</v>
      </c>
      <c r="BS21">
        <v>6.8449999999999998</v>
      </c>
      <c r="BT21">
        <v>6.5709999999999997</v>
      </c>
      <c r="BU21">
        <v>7.109</v>
      </c>
      <c r="BV21">
        <v>7.125</v>
      </c>
      <c r="BW21">
        <v>7.125</v>
      </c>
      <c r="BX21">
        <v>6.827</v>
      </c>
      <c r="BY21">
        <v>6.8929999999999998</v>
      </c>
      <c r="BZ21">
        <v>8.4339999999999993</v>
      </c>
      <c r="CA21">
        <v>6.7370000000000001</v>
      </c>
      <c r="CB21">
        <v>6.6260000000000003</v>
      </c>
      <c r="CC21">
        <v>6.8310000000000004</v>
      </c>
      <c r="CD21">
        <v>6.5750000000000002</v>
      </c>
      <c r="CE21">
        <v>6.6040000000000001</v>
      </c>
      <c r="CF21">
        <v>6.5190000000000001</v>
      </c>
      <c r="CG21">
        <v>6.6219999999999999</v>
      </c>
      <c r="CH21">
        <v>6.9690000000000003</v>
      </c>
      <c r="CI21">
        <v>6.7169999999999996</v>
      </c>
      <c r="CJ21">
        <v>6.9409999999999998</v>
      </c>
      <c r="CK21">
        <v>6.8550000000000004</v>
      </c>
      <c r="CL21">
        <v>6.9429999999999996</v>
      </c>
      <c r="CM21">
        <v>6.9429999999999996</v>
      </c>
      <c r="CN21">
        <v>8.6750000000000007</v>
      </c>
      <c r="CO21">
        <v>8.6750000000000007</v>
      </c>
      <c r="CS21">
        <v>8.6739999999999995</v>
      </c>
      <c r="CT21">
        <v>6.6970000000000001</v>
      </c>
      <c r="CU21">
        <v>6.9790000000000001</v>
      </c>
      <c r="CV21">
        <v>6.4279999999999999</v>
      </c>
      <c r="CY21">
        <v>6.9329999999999998</v>
      </c>
    </row>
    <row r="22" spans="2:103" x14ac:dyDescent="0.35">
      <c r="B22">
        <v>31</v>
      </c>
      <c r="C22" s="63" t="s">
        <v>268</v>
      </c>
      <c r="D22">
        <v>7.35</v>
      </c>
      <c r="E22">
        <v>7.35</v>
      </c>
      <c r="F22">
        <v>6.8540000000000001</v>
      </c>
      <c r="G22">
        <v>6.89</v>
      </c>
      <c r="H22">
        <v>6.0019999999999998</v>
      </c>
      <c r="I22">
        <v>6.0019999999999998</v>
      </c>
      <c r="J22">
        <v>6.0019999999999998</v>
      </c>
      <c r="K22">
        <v>6.0019999999999998</v>
      </c>
      <c r="L22">
        <v>7.875</v>
      </c>
      <c r="M22">
        <v>7.875</v>
      </c>
      <c r="N22">
        <v>7.875</v>
      </c>
      <c r="O22">
        <v>7.5119999999999996</v>
      </c>
      <c r="P22">
        <v>6.9790000000000001</v>
      </c>
      <c r="Q22">
        <v>6.9870000000000001</v>
      </c>
      <c r="R22">
        <v>7.0259999999999998</v>
      </c>
      <c r="S22">
        <v>7.0259999999999998</v>
      </c>
      <c r="T22">
        <v>7.0259999999999998</v>
      </c>
      <c r="U22">
        <v>6.5069999999999997</v>
      </c>
      <c r="V22">
        <v>6.8840000000000003</v>
      </c>
      <c r="W22">
        <v>6.8840000000000003</v>
      </c>
      <c r="X22">
        <v>6.8840000000000003</v>
      </c>
      <c r="Y22">
        <v>6.8840000000000003</v>
      </c>
      <c r="Z22">
        <v>6.8440000000000003</v>
      </c>
      <c r="AA22">
        <v>6.2869999999999999</v>
      </c>
      <c r="AB22">
        <v>6.2869999999999999</v>
      </c>
      <c r="AC22">
        <v>6.2869999999999999</v>
      </c>
      <c r="AD22">
        <v>6.2869999999999999</v>
      </c>
      <c r="AE22">
        <v>6.87</v>
      </c>
      <c r="AF22">
        <v>6.87</v>
      </c>
      <c r="AG22">
        <v>6.5140000000000002</v>
      </c>
      <c r="AH22">
        <v>6.5140000000000002</v>
      </c>
      <c r="AI22">
        <v>6.843</v>
      </c>
      <c r="AJ22">
        <v>7.1189999999999998</v>
      </c>
      <c r="AK22">
        <v>7.1790000000000003</v>
      </c>
      <c r="AL22">
        <v>6.2549999999999999</v>
      </c>
      <c r="AM22">
        <v>6.65</v>
      </c>
      <c r="AN22">
        <v>6.65</v>
      </c>
      <c r="AO22">
        <v>6.2409999999999997</v>
      </c>
      <c r="AP22">
        <v>6.2409999999999997</v>
      </c>
      <c r="AQ22">
        <v>6.2409999999999997</v>
      </c>
      <c r="AR22">
        <v>7.1230000000000002</v>
      </c>
      <c r="AS22">
        <v>6.266</v>
      </c>
      <c r="AT22">
        <v>6.266</v>
      </c>
      <c r="AU22">
        <v>6.266</v>
      </c>
      <c r="AV22">
        <v>6.1989999999999998</v>
      </c>
      <c r="AW22">
        <v>6.54</v>
      </c>
      <c r="AX22">
        <v>6.54</v>
      </c>
      <c r="AY22">
        <v>6.54</v>
      </c>
      <c r="AZ22">
        <v>7.9359999999999999</v>
      </c>
      <c r="BA22">
        <v>7.9359999999999999</v>
      </c>
      <c r="BB22">
        <v>6.3049999999999997</v>
      </c>
      <c r="BC22">
        <v>6.2409999999999997</v>
      </c>
      <c r="BD22">
        <v>3.891</v>
      </c>
      <c r="BE22">
        <v>6.0460000000000003</v>
      </c>
      <c r="BF22">
        <v>6.0460000000000003</v>
      </c>
      <c r="BG22">
        <v>6.44</v>
      </c>
      <c r="BH22">
        <v>6.6420000000000003</v>
      </c>
      <c r="BI22">
        <v>6.6420000000000003</v>
      </c>
      <c r="BJ22">
        <v>6.6210000000000004</v>
      </c>
      <c r="BK22">
        <v>6.6210000000000004</v>
      </c>
      <c r="BL22">
        <v>6.5179999999999998</v>
      </c>
      <c r="BM22">
        <v>6.6950000000000003</v>
      </c>
      <c r="BN22">
        <v>6.7430000000000003</v>
      </c>
      <c r="BO22">
        <v>6.41</v>
      </c>
      <c r="BP22">
        <v>6.2519999999999998</v>
      </c>
      <c r="BQ22">
        <v>6.2519999999999998</v>
      </c>
      <c r="BR22">
        <v>6.5570000000000004</v>
      </c>
      <c r="BS22">
        <v>6.5510000000000002</v>
      </c>
      <c r="BT22">
        <v>6.2960000000000003</v>
      </c>
      <c r="BU22">
        <v>6.9180000000000001</v>
      </c>
      <c r="BV22">
        <v>6.9139999999999997</v>
      </c>
      <c r="BW22">
        <v>6.9139999999999997</v>
      </c>
      <c r="BX22">
        <v>6.61</v>
      </c>
      <c r="BY22">
        <v>6.68</v>
      </c>
      <c r="BZ22">
        <v>7.8810000000000002</v>
      </c>
      <c r="CA22">
        <v>6.1970000000000001</v>
      </c>
      <c r="CB22">
        <v>6.2110000000000003</v>
      </c>
      <c r="CC22">
        <v>6.2539999999999996</v>
      </c>
      <c r="CD22">
        <v>6.2140000000000004</v>
      </c>
      <c r="CE22">
        <v>6.2270000000000003</v>
      </c>
      <c r="CF22">
        <v>6.0709999999999997</v>
      </c>
      <c r="CG22">
        <v>6.242</v>
      </c>
      <c r="CH22">
        <v>6.7619999999999996</v>
      </c>
      <c r="CI22">
        <v>6.4950000000000001</v>
      </c>
      <c r="CJ22">
        <v>6.6269999999999998</v>
      </c>
      <c r="CK22">
        <v>6.5819999999999999</v>
      </c>
      <c r="CL22">
        <v>6.6289999999999996</v>
      </c>
      <c r="CM22">
        <v>6.6289999999999996</v>
      </c>
      <c r="CN22">
        <v>7.9359999999999999</v>
      </c>
      <c r="CO22">
        <v>7.9359999999999999</v>
      </c>
      <c r="CS22">
        <v>7.875</v>
      </c>
      <c r="CT22">
        <v>6.383</v>
      </c>
      <c r="CU22">
        <v>6.7279999999999998</v>
      </c>
      <c r="CV22">
        <v>6.5209999999999999</v>
      </c>
      <c r="CY22">
        <v>6.718</v>
      </c>
    </row>
    <row r="23" spans="2:103" x14ac:dyDescent="0.35">
      <c r="B23">
        <v>30</v>
      </c>
      <c r="C23" s="63" t="s">
        <v>269</v>
      </c>
      <c r="D23">
        <v>6.4509999999999996</v>
      </c>
      <c r="E23">
        <v>6.4509999999999996</v>
      </c>
      <c r="F23">
        <v>6.383</v>
      </c>
      <c r="G23">
        <v>6.4210000000000003</v>
      </c>
      <c r="H23">
        <v>5.2930000000000001</v>
      </c>
      <c r="I23">
        <v>5.2930000000000001</v>
      </c>
      <c r="J23">
        <v>5.2930000000000001</v>
      </c>
      <c r="K23">
        <v>5.2930000000000001</v>
      </c>
      <c r="L23">
        <v>7.484</v>
      </c>
      <c r="M23">
        <v>7.484</v>
      </c>
      <c r="N23">
        <v>7.484</v>
      </c>
      <c r="O23">
        <v>6.9450000000000003</v>
      </c>
      <c r="P23">
        <v>6.5869999999999997</v>
      </c>
      <c r="Q23">
        <v>6.4939999999999998</v>
      </c>
      <c r="R23">
        <v>6.4720000000000004</v>
      </c>
      <c r="S23">
        <v>6.4720000000000004</v>
      </c>
      <c r="T23">
        <v>6.4720000000000004</v>
      </c>
      <c r="U23">
        <v>6.0129999999999999</v>
      </c>
      <c r="V23">
        <v>6.5</v>
      </c>
      <c r="W23">
        <v>6.5</v>
      </c>
      <c r="X23">
        <v>6.5</v>
      </c>
      <c r="Y23">
        <v>6.5</v>
      </c>
      <c r="Z23">
        <v>6.3609999999999998</v>
      </c>
      <c r="AA23">
        <v>5.8710000000000004</v>
      </c>
      <c r="AB23">
        <v>5.8710000000000004</v>
      </c>
      <c r="AC23">
        <v>5.8710000000000004</v>
      </c>
      <c r="AD23">
        <v>5.8710000000000004</v>
      </c>
      <c r="AE23">
        <v>6.4020000000000001</v>
      </c>
      <c r="AF23">
        <v>6.4020000000000001</v>
      </c>
      <c r="AG23">
        <v>6.0430000000000001</v>
      </c>
      <c r="AH23">
        <v>6.0430000000000001</v>
      </c>
      <c r="AI23">
        <v>5.9960000000000004</v>
      </c>
      <c r="AJ23">
        <v>6.5359999999999996</v>
      </c>
      <c r="AK23">
        <v>6.6420000000000003</v>
      </c>
      <c r="AL23">
        <v>5.774</v>
      </c>
      <c r="AM23">
        <v>6.181</v>
      </c>
      <c r="AN23">
        <v>6.181</v>
      </c>
      <c r="AO23">
        <v>5.7679999999999998</v>
      </c>
      <c r="AP23">
        <v>5.7679999999999998</v>
      </c>
      <c r="AQ23">
        <v>5.7679999999999998</v>
      </c>
      <c r="AR23">
        <v>6.0339999999999998</v>
      </c>
      <c r="AS23">
        <v>5.8250000000000002</v>
      </c>
      <c r="AT23">
        <v>5.8250000000000002</v>
      </c>
      <c r="AU23">
        <v>5.8250000000000002</v>
      </c>
      <c r="AV23">
        <v>5.7290000000000001</v>
      </c>
      <c r="AW23">
        <v>6.0739999999999998</v>
      </c>
      <c r="AX23">
        <v>6.0739999999999998</v>
      </c>
      <c r="AY23">
        <v>6.0739999999999998</v>
      </c>
      <c r="AZ23">
        <v>7.36</v>
      </c>
      <c r="BA23">
        <v>7.36</v>
      </c>
      <c r="BB23">
        <v>5.8129999999999997</v>
      </c>
      <c r="BC23">
        <v>5.7679999999999998</v>
      </c>
      <c r="BD23">
        <v>3.6960000000000002</v>
      </c>
      <c r="BE23">
        <v>5.5140000000000002</v>
      </c>
      <c r="BF23">
        <v>5.5140000000000002</v>
      </c>
      <c r="BG23">
        <v>5.9880000000000004</v>
      </c>
      <c r="BH23">
        <v>6.1929999999999996</v>
      </c>
      <c r="BI23">
        <v>6.1929999999999996</v>
      </c>
      <c r="BJ23">
        <v>6.2240000000000002</v>
      </c>
      <c r="BK23">
        <v>6.2240000000000002</v>
      </c>
      <c r="BL23">
        <v>6.0890000000000004</v>
      </c>
      <c r="BM23">
        <v>6.2670000000000003</v>
      </c>
      <c r="BN23">
        <v>6.3079999999999998</v>
      </c>
      <c r="BO23">
        <v>6.0620000000000003</v>
      </c>
      <c r="BP23">
        <v>5.7549999999999999</v>
      </c>
      <c r="BQ23">
        <v>5.7549999999999999</v>
      </c>
      <c r="BR23">
        <v>6.0460000000000003</v>
      </c>
      <c r="BS23">
        <v>6.0439999999999996</v>
      </c>
      <c r="BT23">
        <v>5.6870000000000003</v>
      </c>
      <c r="BU23">
        <v>6.3120000000000003</v>
      </c>
      <c r="BV23">
        <v>6.3460000000000001</v>
      </c>
      <c r="BW23">
        <v>6.3460000000000001</v>
      </c>
      <c r="BX23">
        <v>6.1349999999999998</v>
      </c>
      <c r="BY23">
        <v>6.1840000000000002</v>
      </c>
      <c r="BZ23">
        <v>7.5860000000000003</v>
      </c>
      <c r="CA23">
        <v>5.7690000000000001</v>
      </c>
      <c r="CB23">
        <v>5.7229999999999999</v>
      </c>
      <c r="CC23">
        <v>5.8470000000000004</v>
      </c>
      <c r="CD23">
        <v>5.7270000000000003</v>
      </c>
      <c r="CE23">
        <v>5.742</v>
      </c>
      <c r="CF23">
        <v>5.7149999999999999</v>
      </c>
      <c r="CG23">
        <v>5.7610000000000001</v>
      </c>
      <c r="CH23">
        <v>6.2610000000000001</v>
      </c>
      <c r="CI23">
        <v>6.0419999999999998</v>
      </c>
      <c r="CJ23">
        <v>6.1779999999999999</v>
      </c>
      <c r="CK23">
        <v>6.16</v>
      </c>
      <c r="CL23">
        <v>6.1769999999999996</v>
      </c>
      <c r="CM23">
        <v>6.1769999999999996</v>
      </c>
      <c r="CN23">
        <v>7.36</v>
      </c>
      <c r="CO23">
        <v>7.36</v>
      </c>
      <c r="CS23">
        <v>7.484</v>
      </c>
      <c r="CT23">
        <v>5.9589999999999996</v>
      </c>
      <c r="CU23">
        <v>6.2930000000000001</v>
      </c>
      <c r="CV23">
        <v>6.0179999999999998</v>
      </c>
      <c r="CY23">
        <v>6.1360000000000001</v>
      </c>
    </row>
    <row r="24" spans="2:103" x14ac:dyDescent="0.35">
      <c r="B24">
        <v>31</v>
      </c>
      <c r="C24" s="63" t="s">
        <v>270</v>
      </c>
      <c r="D24">
        <v>6.0780000000000003</v>
      </c>
      <c r="E24">
        <v>6.0780000000000003</v>
      </c>
      <c r="F24">
        <v>6.3890000000000002</v>
      </c>
      <c r="G24">
        <v>6.4489999999999998</v>
      </c>
      <c r="H24">
        <v>4.984</v>
      </c>
      <c r="I24">
        <v>4.984</v>
      </c>
      <c r="J24">
        <v>4.984</v>
      </c>
      <c r="K24">
        <v>4.984</v>
      </c>
      <c r="L24">
        <v>7.3840000000000003</v>
      </c>
      <c r="M24">
        <v>7.3840000000000003</v>
      </c>
      <c r="N24">
        <v>7.3840000000000003</v>
      </c>
      <c r="O24">
        <v>6.76</v>
      </c>
      <c r="P24">
        <v>6.4160000000000004</v>
      </c>
      <c r="Q24">
        <v>6.4980000000000002</v>
      </c>
      <c r="R24">
        <v>6.3680000000000003</v>
      </c>
      <c r="S24">
        <v>6.3680000000000003</v>
      </c>
      <c r="T24">
        <v>6.3680000000000003</v>
      </c>
      <c r="U24">
        <v>5.9370000000000003</v>
      </c>
      <c r="V24">
        <v>6.468</v>
      </c>
      <c r="W24">
        <v>6.468</v>
      </c>
      <c r="X24">
        <v>6.468</v>
      </c>
      <c r="Y24">
        <v>6.468</v>
      </c>
      <c r="Z24">
        <v>6.3849999999999998</v>
      </c>
      <c r="AA24">
        <v>5.7850000000000001</v>
      </c>
      <c r="AB24">
        <v>5.7850000000000001</v>
      </c>
      <c r="AC24">
        <v>5.7850000000000001</v>
      </c>
      <c r="AD24">
        <v>5.7850000000000001</v>
      </c>
      <c r="AE24">
        <v>6.3460000000000001</v>
      </c>
      <c r="AF24">
        <v>6.3460000000000001</v>
      </c>
      <c r="AG24">
        <v>5.9420000000000002</v>
      </c>
      <c r="AH24">
        <v>5.9420000000000002</v>
      </c>
      <c r="AI24">
        <v>5.62</v>
      </c>
      <c r="AJ24">
        <v>6.3579999999999997</v>
      </c>
      <c r="AK24">
        <v>6.4029999999999996</v>
      </c>
      <c r="AL24">
        <v>5.6920000000000002</v>
      </c>
      <c r="AM24">
        <v>6.0229999999999997</v>
      </c>
      <c r="AN24">
        <v>6.0229999999999997</v>
      </c>
      <c r="AO24">
        <v>5.6520000000000001</v>
      </c>
      <c r="AP24">
        <v>5.6520000000000001</v>
      </c>
      <c r="AQ24">
        <v>5.6520000000000001</v>
      </c>
      <c r="AR24">
        <v>5.8380000000000001</v>
      </c>
      <c r="AS24">
        <v>5.7039999999999997</v>
      </c>
      <c r="AT24">
        <v>5.7039999999999997</v>
      </c>
      <c r="AU24">
        <v>5.7039999999999997</v>
      </c>
      <c r="AV24">
        <v>5.6890000000000001</v>
      </c>
      <c r="AW24">
        <v>5.9009999999999998</v>
      </c>
      <c r="AX24">
        <v>5.9009999999999998</v>
      </c>
      <c r="AY24">
        <v>5.9009999999999998</v>
      </c>
      <c r="AZ24">
        <v>7.2080000000000002</v>
      </c>
      <c r="BA24">
        <v>7.2080000000000002</v>
      </c>
      <c r="BB24">
        <v>5.7389999999999999</v>
      </c>
      <c r="BC24">
        <v>5.6520000000000001</v>
      </c>
      <c r="BD24">
        <v>3.7570000000000001</v>
      </c>
      <c r="BE24">
        <v>5.4219999999999997</v>
      </c>
      <c r="BF24">
        <v>5.4219999999999997</v>
      </c>
      <c r="BG24">
        <v>5.859</v>
      </c>
      <c r="BH24">
        <v>6.0460000000000003</v>
      </c>
      <c r="BI24">
        <v>6.0460000000000003</v>
      </c>
      <c r="BJ24">
        <v>6.1219999999999999</v>
      </c>
      <c r="BK24">
        <v>6.1219999999999999</v>
      </c>
      <c r="BL24">
        <v>5.9569999999999999</v>
      </c>
      <c r="BM24">
        <v>6.1260000000000003</v>
      </c>
      <c r="BN24">
        <v>6.16</v>
      </c>
      <c r="BO24">
        <v>5.76</v>
      </c>
      <c r="BP24">
        <v>5.6740000000000004</v>
      </c>
      <c r="BQ24">
        <v>5.6740000000000004</v>
      </c>
      <c r="BR24">
        <v>5.976</v>
      </c>
      <c r="BS24">
        <v>5.9720000000000004</v>
      </c>
      <c r="BT24">
        <v>5.6539999999999999</v>
      </c>
      <c r="BU24">
        <v>6.2320000000000002</v>
      </c>
      <c r="BV24">
        <v>6.2530000000000001</v>
      </c>
      <c r="BW24">
        <v>6.2530000000000001</v>
      </c>
      <c r="BX24">
        <v>6.0990000000000002</v>
      </c>
      <c r="BY24">
        <v>6.0919999999999996</v>
      </c>
      <c r="BZ24">
        <v>7.6660000000000004</v>
      </c>
      <c r="CA24">
        <v>5.6390000000000002</v>
      </c>
      <c r="CB24">
        <v>5.6689999999999996</v>
      </c>
      <c r="CC24">
        <v>5.7039999999999997</v>
      </c>
      <c r="CD24">
        <v>5.7770000000000001</v>
      </c>
      <c r="CE24">
        <v>5.7779999999999996</v>
      </c>
      <c r="CF24">
        <v>5.77</v>
      </c>
      <c r="CG24">
        <v>5.7949999999999999</v>
      </c>
      <c r="CH24">
        <v>6.1619999999999999</v>
      </c>
      <c r="CI24">
        <v>5.9279999999999999</v>
      </c>
      <c r="CJ24">
        <v>6.0209999999999999</v>
      </c>
      <c r="CK24">
        <v>6.0289999999999999</v>
      </c>
      <c r="CL24">
        <v>6.0140000000000002</v>
      </c>
      <c r="CM24">
        <v>6.0140000000000002</v>
      </c>
      <c r="CN24">
        <v>7.2080000000000002</v>
      </c>
      <c r="CO24">
        <v>7.2080000000000002</v>
      </c>
      <c r="CS24">
        <v>7.3840000000000003</v>
      </c>
      <c r="CT24">
        <v>5.819</v>
      </c>
      <c r="CU24">
        <v>6.1420000000000003</v>
      </c>
      <c r="CV24">
        <v>6.0419999999999998</v>
      </c>
      <c r="CY24">
        <v>6.1079999999999997</v>
      </c>
    </row>
    <row r="25" spans="2:103" x14ac:dyDescent="0.35">
      <c r="B25">
        <v>31</v>
      </c>
      <c r="C25" s="63" t="s">
        <v>271</v>
      </c>
      <c r="D25">
        <v>6.0490000000000004</v>
      </c>
      <c r="E25">
        <v>6.0490000000000004</v>
      </c>
      <c r="F25">
        <v>6.4039999999999999</v>
      </c>
      <c r="G25">
        <v>6.4560000000000004</v>
      </c>
      <c r="H25">
        <v>4.8620000000000001</v>
      </c>
      <c r="I25">
        <v>4.8620000000000001</v>
      </c>
      <c r="J25">
        <v>4.8620000000000001</v>
      </c>
      <c r="K25">
        <v>4.8620000000000001</v>
      </c>
      <c r="L25">
        <v>6.9889999999999999</v>
      </c>
      <c r="M25">
        <v>6.9889999999999999</v>
      </c>
      <c r="N25">
        <v>6.9889999999999999</v>
      </c>
      <c r="O25">
        <v>6.6150000000000002</v>
      </c>
      <c r="P25">
        <v>6.2149999999999999</v>
      </c>
      <c r="Q25">
        <v>6.5179999999999998</v>
      </c>
      <c r="R25">
        <v>6.3630000000000004</v>
      </c>
      <c r="S25">
        <v>6.3630000000000004</v>
      </c>
      <c r="T25">
        <v>6.3630000000000004</v>
      </c>
      <c r="U25">
        <v>5.7850000000000001</v>
      </c>
      <c r="V25">
        <v>6.4489999999999998</v>
      </c>
      <c r="W25">
        <v>6.4489999999999998</v>
      </c>
      <c r="X25">
        <v>6.4489999999999998</v>
      </c>
      <c r="Y25">
        <v>6.4489999999999998</v>
      </c>
      <c r="Z25">
        <v>6.3559999999999999</v>
      </c>
      <c r="AA25">
        <v>5.6130000000000004</v>
      </c>
      <c r="AB25">
        <v>5.6130000000000004</v>
      </c>
      <c r="AC25">
        <v>5.6130000000000004</v>
      </c>
      <c r="AD25">
        <v>5.6130000000000004</v>
      </c>
      <c r="AE25">
        <v>6.3280000000000003</v>
      </c>
      <c r="AF25">
        <v>6.3280000000000003</v>
      </c>
      <c r="AG25">
        <v>5.9109999999999996</v>
      </c>
      <c r="AH25">
        <v>5.9109999999999996</v>
      </c>
      <c r="AI25">
        <v>5.585</v>
      </c>
      <c r="AJ25">
        <v>6.2450000000000001</v>
      </c>
      <c r="AK25">
        <v>6.2679999999999998</v>
      </c>
      <c r="AL25">
        <v>5.57</v>
      </c>
      <c r="AM25">
        <v>5.851</v>
      </c>
      <c r="AN25">
        <v>5.851</v>
      </c>
      <c r="AO25">
        <v>5.5540000000000003</v>
      </c>
      <c r="AP25">
        <v>5.5540000000000003</v>
      </c>
      <c r="AQ25">
        <v>5.5540000000000003</v>
      </c>
      <c r="AR25">
        <v>5.6239999999999997</v>
      </c>
      <c r="AS25">
        <v>5.5540000000000003</v>
      </c>
      <c r="AT25">
        <v>5.5540000000000003</v>
      </c>
      <c r="AU25">
        <v>5.5540000000000003</v>
      </c>
      <c r="AV25">
        <v>5.5570000000000004</v>
      </c>
      <c r="AW25">
        <v>5.7640000000000002</v>
      </c>
      <c r="AX25">
        <v>5.7640000000000002</v>
      </c>
      <c r="AY25">
        <v>5.7640000000000002</v>
      </c>
      <c r="AZ25">
        <v>6.88</v>
      </c>
      <c r="BA25">
        <v>6.88</v>
      </c>
      <c r="BB25">
        <v>5.609</v>
      </c>
      <c r="BC25">
        <v>5.5540000000000003</v>
      </c>
      <c r="BD25">
        <v>3.6429999999999998</v>
      </c>
      <c r="BE25">
        <v>5.2309999999999999</v>
      </c>
      <c r="BF25">
        <v>5.2309999999999999</v>
      </c>
      <c r="BG25">
        <v>5.8289999999999997</v>
      </c>
      <c r="BH25">
        <v>6.0460000000000003</v>
      </c>
      <c r="BI25">
        <v>6.0460000000000003</v>
      </c>
      <c r="BJ25">
        <v>6.0979999999999999</v>
      </c>
      <c r="BK25">
        <v>6.0979999999999999</v>
      </c>
      <c r="BL25">
        <v>5.9660000000000002</v>
      </c>
      <c r="BM25">
        <v>6.109</v>
      </c>
      <c r="BN25">
        <v>6.1379999999999999</v>
      </c>
      <c r="BO25">
        <v>5.6440000000000001</v>
      </c>
      <c r="BP25">
        <v>5.5679999999999996</v>
      </c>
      <c r="BQ25">
        <v>5.5679999999999996</v>
      </c>
      <c r="BR25">
        <v>5.8330000000000002</v>
      </c>
      <c r="BS25">
        <v>5.8239999999999998</v>
      </c>
      <c r="BT25">
        <v>5.6479999999999997</v>
      </c>
      <c r="BU25">
        <v>6.266</v>
      </c>
      <c r="BV25">
        <v>6.29</v>
      </c>
      <c r="BW25">
        <v>6.29</v>
      </c>
      <c r="BX25">
        <v>6.0979999999999999</v>
      </c>
      <c r="BY25">
        <v>6.0369999999999999</v>
      </c>
      <c r="BZ25">
        <v>7.2309999999999999</v>
      </c>
      <c r="CA25">
        <v>5.476</v>
      </c>
      <c r="CB25">
        <v>5.5229999999999997</v>
      </c>
      <c r="CC25">
        <v>5.54</v>
      </c>
      <c r="CD25">
        <v>5.6479999999999997</v>
      </c>
      <c r="CE25">
        <v>5.6559999999999997</v>
      </c>
      <c r="CF25">
        <v>5.5609999999999999</v>
      </c>
      <c r="CG25">
        <v>5.6740000000000004</v>
      </c>
      <c r="CH25">
        <v>6.0970000000000004</v>
      </c>
      <c r="CI25">
        <v>5.9080000000000004</v>
      </c>
      <c r="CJ25">
        <v>6.0259999999999998</v>
      </c>
      <c r="CK25">
        <v>6.0190000000000001</v>
      </c>
      <c r="CL25">
        <v>6.0179999999999998</v>
      </c>
      <c r="CM25">
        <v>6.0179999999999998</v>
      </c>
      <c r="CN25">
        <v>6.88</v>
      </c>
      <c r="CO25">
        <v>6.88</v>
      </c>
      <c r="CS25">
        <v>6.9889999999999999</v>
      </c>
      <c r="CT25">
        <v>5.8040000000000003</v>
      </c>
      <c r="CU25">
        <v>6.1210000000000004</v>
      </c>
      <c r="CV25">
        <v>6.157</v>
      </c>
      <c r="CY25">
        <v>6.09</v>
      </c>
    </row>
    <row r="26" spans="2:103" x14ac:dyDescent="0.35">
      <c r="B26">
        <v>30</v>
      </c>
      <c r="C26" s="63" t="s">
        <v>272</v>
      </c>
      <c r="D26">
        <v>6.6539999999999999</v>
      </c>
      <c r="E26">
        <v>6.6539999999999999</v>
      </c>
      <c r="F26">
        <v>6.883</v>
      </c>
      <c r="G26">
        <v>6.9370000000000003</v>
      </c>
      <c r="H26">
        <v>5.6289999999999996</v>
      </c>
      <c r="I26">
        <v>5.6289999999999996</v>
      </c>
      <c r="J26">
        <v>5.6289999999999996</v>
      </c>
      <c r="K26">
        <v>5.6289999999999996</v>
      </c>
      <c r="L26">
        <v>7.7590000000000003</v>
      </c>
      <c r="M26">
        <v>7.7590000000000003</v>
      </c>
      <c r="N26">
        <v>7.7590000000000003</v>
      </c>
      <c r="O26">
        <v>7.3810000000000002</v>
      </c>
      <c r="P26">
        <v>6.766</v>
      </c>
      <c r="Q26">
        <v>7.0350000000000001</v>
      </c>
      <c r="R26">
        <v>6.9180000000000001</v>
      </c>
      <c r="S26">
        <v>6.9180000000000001</v>
      </c>
      <c r="T26">
        <v>6.9180000000000001</v>
      </c>
      <c r="U26">
        <v>6.3520000000000003</v>
      </c>
      <c r="V26">
        <v>6.9119999999999999</v>
      </c>
      <c r="W26">
        <v>6.9119999999999999</v>
      </c>
      <c r="X26">
        <v>6.9119999999999999</v>
      </c>
      <c r="Y26">
        <v>6.9119999999999999</v>
      </c>
      <c r="Z26">
        <v>6.8550000000000004</v>
      </c>
      <c r="AA26">
        <v>6.1559999999999997</v>
      </c>
      <c r="AB26">
        <v>6.1559999999999997</v>
      </c>
      <c r="AC26">
        <v>6.1559999999999997</v>
      </c>
      <c r="AD26">
        <v>6.1559999999999997</v>
      </c>
      <c r="AE26">
        <v>6.8250000000000002</v>
      </c>
      <c r="AF26">
        <v>6.8250000000000002</v>
      </c>
      <c r="AG26">
        <v>6.4669999999999996</v>
      </c>
      <c r="AH26">
        <v>6.4669999999999996</v>
      </c>
      <c r="AI26">
        <v>6.194</v>
      </c>
      <c r="AJ26">
        <v>7.069</v>
      </c>
      <c r="AK26">
        <v>6.9930000000000003</v>
      </c>
      <c r="AL26">
        <v>6.3390000000000004</v>
      </c>
      <c r="AM26">
        <v>6.452</v>
      </c>
      <c r="AN26">
        <v>6.452</v>
      </c>
      <c r="AO26">
        <v>6.2869999999999999</v>
      </c>
      <c r="AP26">
        <v>6.2869999999999999</v>
      </c>
      <c r="AQ26">
        <v>6.2869999999999999</v>
      </c>
      <c r="AR26">
        <v>6.36</v>
      </c>
      <c r="AS26">
        <v>6.3150000000000004</v>
      </c>
      <c r="AT26">
        <v>6.3150000000000004</v>
      </c>
      <c r="AU26">
        <v>6.3150000000000004</v>
      </c>
      <c r="AV26">
        <v>6.173</v>
      </c>
      <c r="AW26">
        <v>6.3890000000000002</v>
      </c>
      <c r="AX26">
        <v>6.3890000000000002</v>
      </c>
      <c r="AY26">
        <v>6.3890000000000002</v>
      </c>
      <c r="AZ26">
        <v>7.6790000000000003</v>
      </c>
      <c r="BA26">
        <v>7.6790000000000003</v>
      </c>
      <c r="BB26">
        <v>6.2709999999999999</v>
      </c>
      <c r="BC26">
        <v>6.2869999999999999</v>
      </c>
      <c r="BD26">
        <v>3.75</v>
      </c>
      <c r="BE26">
        <v>5.9320000000000004</v>
      </c>
      <c r="BF26">
        <v>5.9320000000000004</v>
      </c>
      <c r="BG26">
        <v>6.4050000000000002</v>
      </c>
      <c r="BH26">
        <v>6.6959999999999997</v>
      </c>
      <c r="BI26">
        <v>6.6959999999999997</v>
      </c>
      <c r="BJ26">
        <v>6.6479999999999997</v>
      </c>
      <c r="BK26">
        <v>6.6479999999999997</v>
      </c>
      <c r="BL26">
        <v>6.6189999999999998</v>
      </c>
      <c r="BM26">
        <v>6.7060000000000004</v>
      </c>
      <c r="BN26">
        <v>6.7080000000000002</v>
      </c>
      <c r="BO26">
        <v>6.3390000000000004</v>
      </c>
      <c r="BP26">
        <v>6.343</v>
      </c>
      <c r="BQ26">
        <v>6.343</v>
      </c>
      <c r="BR26">
        <v>6.3970000000000002</v>
      </c>
      <c r="BS26">
        <v>6.3890000000000002</v>
      </c>
      <c r="BT26">
        <v>6.2489999999999997</v>
      </c>
      <c r="BU26">
        <v>6.8120000000000003</v>
      </c>
      <c r="BV26">
        <v>6.8520000000000003</v>
      </c>
      <c r="BW26">
        <v>6.8520000000000003</v>
      </c>
      <c r="BX26">
        <v>6.6070000000000002</v>
      </c>
      <c r="BY26">
        <v>6.585</v>
      </c>
      <c r="BZ26">
        <v>7.2649999999999997</v>
      </c>
      <c r="CA26">
        <v>6.2320000000000002</v>
      </c>
      <c r="CB26">
        <v>6.1689999999999996</v>
      </c>
      <c r="CC26">
        <v>6.2640000000000002</v>
      </c>
      <c r="CD26">
        <v>6.3220000000000001</v>
      </c>
      <c r="CE26">
        <v>6.3440000000000003</v>
      </c>
      <c r="CF26">
        <v>6.0410000000000004</v>
      </c>
      <c r="CG26">
        <v>6.3650000000000002</v>
      </c>
      <c r="CH26">
        <v>6.64</v>
      </c>
      <c r="CI26">
        <v>6.4630000000000001</v>
      </c>
      <c r="CJ26">
        <v>6.69</v>
      </c>
      <c r="CK26">
        <v>6.6239999999999997</v>
      </c>
      <c r="CL26">
        <v>6.6769999999999996</v>
      </c>
      <c r="CM26">
        <v>6.6769999999999996</v>
      </c>
      <c r="CN26">
        <v>7.6790000000000003</v>
      </c>
      <c r="CO26">
        <v>7.6790000000000003</v>
      </c>
      <c r="CS26">
        <v>7.7590000000000003</v>
      </c>
      <c r="CT26">
        <v>6.3630000000000004</v>
      </c>
      <c r="CU26">
        <v>6.7050000000000001</v>
      </c>
      <c r="CV26">
        <v>6.2759999999999998</v>
      </c>
      <c r="CY26">
        <v>6.43</v>
      </c>
    </row>
    <row r="27" spans="2:103" x14ac:dyDescent="0.35">
      <c r="B27">
        <v>31</v>
      </c>
      <c r="C27" s="63" t="s">
        <v>273</v>
      </c>
      <c r="D27">
        <v>7.5739999999999998</v>
      </c>
      <c r="E27">
        <v>7.5739999999999998</v>
      </c>
      <c r="F27">
        <v>8.0289999999999999</v>
      </c>
      <c r="G27">
        <v>8.1020000000000003</v>
      </c>
      <c r="H27">
        <v>6.7549999999999999</v>
      </c>
      <c r="I27">
        <v>6.7549999999999999</v>
      </c>
      <c r="J27">
        <v>6.7549999999999999</v>
      </c>
      <c r="K27">
        <v>6.7549999999999999</v>
      </c>
      <c r="L27">
        <v>8.3650000000000002</v>
      </c>
      <c r="M27">
        <v>8.3650000000000002</v>
      </c>
      <c r="N27">
        <v>8.3650000000000002</v>
      </c>
      <c r="O27">
        <v>8.4920000000000009</v>
      </c>
      <c r="P27">
        <v>7.2489999999999997</v>
      </c>
      <c r="Q27">
        <v>8.2420000000000009</v>
      </c>
      <c r="R27">
        <v>7.9859999999999998</v>
      </c>
      <c r="S27">
        <v>7.9859999999999998</v>
      </c>
      <c r="T27">
        <v>7.9859999999999998</v>
      </c>
      <c r="U27">
        <v>7.0979999999999999</v>
      </c>
      <c r="V27">
        <v>7.9880000000000004</v>
      </c>
      <c r="W27">
        <v>7.9880000000000004</v>
      </c>
      <c r="X27">
        <v>7.9880000000000004</v>
      </c>
      <c r="Y27">
        <v>7.9880000000000004</v>
      </c>
      <c r="Z27">
        <v>7.8979999999999997</v>
      </c>
      <c r="AA27">
        <v>6.8280000000000003</v>
      </c>
      <c r="AB27">
        <v>6.8280000000000003</v>
      </c>
      <c r="AC27">
        <v>6.8280000000000003</v>
      </c>
      <c r="AD27">
        <v>6.8280000000000003</v>
      </c>
      <c r="AE27">
        <v>7.8520000000000003</v>
      </c>
      <c r="AF27">
        <v>7.8520000000000003</v>
      </c>
      <c r="AG27">
        <v>7.3860000000000001</v>
      </c>
      <c r="AH27">
        <v>7.3860000000000001</v>
      </c>
      <c r="AI27">
        <v>6.9619999999999997</v>
      </c>
      <c r="AJ27">
        <v>8.1820000000000004</v>
      </c>
      <c r="AK27">
        <v>7.8280000000000003</v>
      </c>
      <c r="AL27">
        <v>7.29</v>
      </c>
      <c r="AM27">
        <v>7.1440000000000001</v>
      </c>
      <c r="AN27">
        <v>7.1440000000000001</v>
      </c>
      <c r="AO27">
        <v>7.2140000000000004</v>
      </c>
      <c r="AP27">
        <v>7.2140000000000004</v>
      </c>
      <c r="AQ27">
        <v>7.2140000000000004</v>
      </c>
      <c r="AR27">
        <v>7.6020000000000003</v>
      </c>
      <c r="AS27">
        <v>7.1619999999999999</v>
      </c>
      <c r="AT27">
        <v>7.1619999999999999</v>
      </c>
      <c r="AU27">
        <v>7.1619999999999999</v>
      </c>
      <c r="AV27">
        <v>6.9980000000000002</v>
      </c>
      <c r="AW27">
        <v>7.2169999999999996</v>
      </c>
      <c r="AX27">
        <v>7.2169999999999996</v>
      </c>
      <c r="AY27">
        <v>7.2169999999999996</v>
      </c>
      <c r="AZ27">
        <v>8.4949999999999992</v>
      </c>
      <c r="BA27">
        <v>8.4949999999999992</v>
      </c>
      <c r="BB27">
        <v>7.1139999999999999</v>
      </c>
      <c r="BC27">
        <v>7.2140000000000004</v>
      </c>
      <c r="BD27">
        <v>4.3559999999999999</v>
      </c>
      <c r="BE27">
        <v>6.8150000000000004</v>
      </c>
      <c r="BF27">
        <v>6.8150000000000004</v>
      </c>
      <c r="BG27">
        <v>7.3129999999999997</v>
      </c>
      <c r="BH27">
        <v>7.7539999999999996</v>
      </c>
      <c r="BI27">
        <v>7.7539999999999996</v>
      </c>
      <c r="BJ27">
        <v>7.665</v>
      </c>
      <c r="BK27">
        <v>7.665</v>
      </c>
      <c r="BL27">
        <v>7.734</v>
      </c>
      <c r="BM27">
        <v>7.718</v>
      </c>
      <c r="BN27">
        <v>7.6580000000000004</v>
      </c>
      <c r="BO27">
        <v>7.1440000000000001</v>
      </c>
      <c r="BP27">
        <v>7.3460000000000001</v>
      </c>
      <c r="BQ27">
        <v>7.3460000000000001</v>
      </c>
      <c r="BR27">
        <v>7.1719999999999997</v>
      </c>
      <c r="BS27">
        <v>7.1550000000000002</v>
      </c>
      <c r="BT27">
        <v>7.3179999999999996</v>
      </c>
      <c r="BU27">
        <v>7.9969999999999999</v>
      </c>
      <c r="BV27">
        <v>8.0289999999999999</v>
      </c>
      <c r="BW27">
        <v>8.0289999999999999</v>
      </c>
      <c r="BX27">
        <v>7.6420000000000003</v>
      </c>
      <c r="BY27">
        <v>7.5339999999999998</v>
      </c>
      <c r="BZ27">
        <v>7.6310000000000002</v>
      </c>
      <c r="CA27">
        <v>7.0389999999999997</v>
      </c>
      <c r="CB27">
        <v>6.9489999999999998</v>
      </c>
      <c r="CC27">
        <v>6.9580000000000002</v>
      </c>
      <c r="CD27">
        <v>7.2110000000000003</v>
      </c>
      <c r="CE27">
        <v>7.2060000000000004</v>
      </c>
      <c r="CF27">
        <v>6.8120000000000003</v>
      </c>
      <c r="CG27">
        <v>7.2130000000000001</v>
      </c>
      <c r="CH27">
        <v>7.5650000000000004</v>
      </c>
      <c r="CI27">
        <v>7.39</v>
      </c>
      <c r="CJ27">
        <v>7.7679999999999998</v>
      </c>
      <c r="CK27">
        <v>7.6669999999999998</v>
      </c>
      <c r="CL27">
        <v>7.74</v>
      </c>
      <c r="CM27">
        <v>7.74</v>
      </c>
      <c r="CN27">
        <v>8.4949999999999992</v>
      </c>
      <c r="CO27">
        <v>8.4949999999999992</v>
      </c>
      <c r="CS27">
        <v>8.3650000000000002</v>
      </c>
      <c r="CT27">
        <v>7.2460000000000004</v>
      </c>
      <c r="CU27">
        <v>7.673</v>
      </c>
      <c r="CV27">
        <v>7.17</v>
      </c>
      <c r="CY27">
        <v>7.3719999999999999</v>
      </c>
    </row>
    <row r="28" spans="2:103" x14ac:dyDescent="0.35">
      <c r="B28">
        <v>30</v>
      </c>
      <c r="C28" s="63" t="s">
        <v>274</v>
      </c>
      <c r="D28">
        <v>7.5229999999999997</v>
      </c>
      <c r="E28">
        <v>7.5229999999999997</v>
      </c>
      <c r="F28">
        <v>8.3490000000000002</v>
      </c>
      <c r="G28">
        <v>8.4489999999999998</v>
      </c>
      <c r="H28">
        <v>7.25</v>
      </c>
      <c r="I28">
        <v>7.25</v>
      </c>
      <c r="J28">
        <v>7.25</v>
      </c>
      <c r="K28">
        <v>7.25</v>
      </c>
      <c r="L28">
        <v>9.7690000000000001</v>
      </c>
      <c r="M28">
        <v>9.7690000000000001</v>
      </c>
      <c r="N28">
        <v>9.7690000000000001</v>
      </c>
      <c r="O28">
        <v>9.3309999999999995</v>
      </c>
      <c r="P28">
        <v>7.984</v>
      </c>
      <c r="Q28">
        <v>8.6069999999999993</v>
      </c>
      <c r="R28">
        <v>8.1869999999999994</v>
      </c>
      <c r="S28">
        <v>8.1869999999999994</v>
      </c>
      <c r="T28">
        <v>8.1869999999999994</v>
      </c>
      <c r="U28">
        <v>7.3490000000000002</v>
      </c>
      <c r="V28">
        <v>8.2840000000000007</v>
      </c>
      <c r="W28">
        <v>8.2840000000000007</v>
      </c>
      <c r="X28">
        <v>8.2840000000000007</v>
      </c>
      <c r="Y28">
        <v>8.2840000000000007</v>
      </c>
      <c r="Z28">
        <v>8.1590000000000007</v>
      </c>
      <c r="AA28">
        <v>7.23</v>
      </c>
      <c r="AB28">
        <v>7.23</v>
      </c>
      <c r="AC28">
        <v>7.23</v>
      </c>
      <c r="AD28">
        <v>7.23</v>
      </c>
      <c r="AE28">
        <v>8.0440000000000005</v>
      </c>
      <c r="AF28">
        <v>8.0440000000000005</v>
      </c>
      <c r="AG28">
        <v>7.5739999999999998</v>
      </c>
      <c r="AH28">
        <v>7.5739999999999998</v>
      </c>
      <c r="AI28">
        <v>7.085</v>
      </c>
      <c r="AJ28">
        <v>8.8689999999999998</v>
      </c>
      <c r="AK28">
        <v>8.4580000000000002</v>
      </c>
      <c r="AL28">
        <v>7.423</v>
      </c>
      <c r="AM28">
        <v>7.6210000000000004</v>
      </c>
      <c r="AN28">
        <v>7.6210000000000004</v>
      </c>
      <c r="AO28">
        <v>7.4480000000000004</v>
      </c>
      <c r="AP28">
        <v>7.4480000000000004</v>
      </c>
      <c r="AQ28">
        <v>7.4480000000000004</v>
      </c>
      <c r="AR28">
        <v>7.73</v>
      </c>
      <c r="AS28">
        <v>7.3</v>
      </c>
      <c r="AT28">
        <v>7.3</v>
      </c>
      <c r="AU28">
        <v>7.3</v>
      </c>
      <c r="AV28">
        <v>7.2359999999999998</v>
      </c>
      <c r="AW28">
        <v>7.7229999999999999</v>
      </c>
      <c r="AX28">
        <v>7.7229999999999999</v>
      </c>
      <c r="AY28">
        <v>7.7229999999999999</v>
      </c>
      <c r="AZ28">
        <v>9.6280000000000001</v>
      </c>
      <c r="BA28">
        <v>9.6280000000000001</v>
      </c>
      <c r="BB28">
        <v>7.3869999999999996</v>
      </c>
      <c r="BC28">
        <v>7.4480000000000004</v>
      </c>
      <c r="BD28">
        <v>4.601</v>
      </c>
      <c r="BE28">
        <v>7.3129999999999997</v>
      </c>
      <c r="BF28">
        <v>7.3129999999999997</v>
      </c>
      <c r="BG28">
        <v>7.4619999999999997</v>
      </c>
      <c r="BH28">
        <v>7.9779999999999998</v>
      </c>
      <c r="BI28">
        <v>7.9779999999999998</v>
      </c>
      <c r="BJ28">
        <v>7.9260000000000002</v>
      </c>
      <c r="BK28">
        <v>7.9260000000000002</v>
      </c>
      <c r="BL28">
        <v>7.9850000000000003</v>
      </c>
      <c r="BM28">
        <v>7.9539999999999997</v>
      </c>
      <c r="BN28">
        <v>7.85</v>
      </c>
      <c r="BO28">
        <v>7.5229999999999997</v>
      </c>
      <c r="BP28">
        <v>7.5030000000000001</v>
      </c>
      <c r="BQ28">
        <v>7.5030000000000001</v>
      </c>
      <c r="BR28">
        <v>7.4219999999999997</v>
      </c>
      <c r="BS28">
        <v>7.4029999999999996</v>
      </c>
      <c r="BT28">
        <v>7.7439999999999998</v>
      </c>
      <c r="BU28">
        <v>8.327</v>
      </c>
      <c r="BV28">
        <v>8.2669999999999995</v>
      </c>
      <c r="BW28">
        <v>8.2669999999999995</v>
      </c>
      <c r="BX28">
        <v>7.8959999999999999</v>
      </c>
      <c r="BY28">
        <v>7.734</v>
      </c>
      <c r="BZ28">
        <v>8.6530000000000005</v>
      </c>
      <c r="CA28">
        <v>7.1689999999999996</v>
      </c>
      <c r="CB28">
        <v>7.2030000000000003</v>
      </c>
      <c r="CC28">
        <v>7.1079999999999997</v>
      </c>
      <c r="CD28">
        <v>7.2619999999999996</v>
      </c>
      <c r="CE28">
        <v>7.2519999999999998</v>
      </c>
      <c r="CF28">
        <v>7.2169999999999996</v>
      </c>
      <c r="CG28">
        <v>7.2610000000000001</v>
      </c>
      <c r="CH28">
        <v>7.7409999999999997</v>
      </c>
      <c r="CI28">
        <v>7.5709999999999997</v>
      </c>
      <c r="CJ28">
        <v>7.9710000000000001</v>
      </c>
      <c r="CK28">
        <v>7.9260000000000002</v>
      </c>
      <c r="CL28">
        <v>7.9279999999999999</v>
      </c>
      <c r="CM28">
        <v>7.9279999999999999</v>
      </c>
      <c r="CN28">
        <v>9.6280000000000001</v>
      </c>
      <c r="CO28">
        <v>9.6280000000000001</v>
      </c>
      <c r="CS28">
        <v>9.7690000000000001</v>
      </c>
      <c r="CT28">
        <v>7.3029999999999999</v>
      </c>
      <c r="CU28">
        <v>7.8789999999999996</v>
      </c>
      <c r="CV28">
        <v>7.8639999999999999</v>
      </c>
      <c r="CY28">
        <v>8.1240000000000006</v>
      </c>
    </row>
    <row r="29" spans="2:103" x14ac:dyDescent="0.35">
      <c r="B29">
        <v>31</v>
      </c>
      <c r="C29" s="63" t="s">
        <v>275</v>
      </c>
      <c r="D29">
        <v>7.609</v>
      </c>
      <c r="E29">
        <v>7.609</v>
      </c>
      <c r="F29">
        <v>9.0139999999999993</v>
      </c>
      <c r="G29">
        <v>9.1189999999999998</v>
      </c>
      <c r="H29">
        <v>7.5140000000000002</v>
      </c>
      <c r="I29">
        <v>7.5140000000000002</v>
      </c>
      <c r="J29">
        <v>7.5140000000000002</v>
      </c>
      <c r="K29">
        <v>7.5140000000000002</v>
      </c>
      <c r="L29">
        <v>9.9830000000000005</v>
      </c>
      <c r="M29">
        <v>9.9830000000000005</v>
      </c>
      <c r="N29">
        <v>9.9830000000000005</v>
      </c>
      <c r="O29">
        <v>9.9659999999999993</v>
      </c>
      <c r="P29">
        <v>8.0009999999999994</v>
      </c>
      <c r="Q29">
        <v>9.282</v>
      </c>
      <c r="R29">
        <v>8.7989999999999995</v>
      </c>
      <c r="S29">
        <v>8.7989999999999995</v>
      </c>
      <c r="T29">
        <v>8.7989999999999995</v>
      </c>
      <c r="U29">
        <v>8.0449999999999999</v>
      </c>
      <c r="V29">
        <v>8.94</v>
      </c>
      <c r="W29">
        <v>8.94</v>
      </c>
      <c r="X29">
        <v>8.94</v>
      </c>
      <c r="Y29">
        <v>8.94</v>
      </c>
      <c r="Z29">
        <v>8.8330000000000002</v>
      </c>
      <c r="AA29">
        <v>7.8979999999999997</v>
      </c>
      <c r="AB29">
        <v>7.8979999999999997</v>
      </c>
      <c r="AC29">
        <v>7.8979999999999997</v>
      </c>
      <c r="AD29">
        <v>7.8979999999999997</v>
      </c>
      <c r="AE29">
        <v>8.6989999999999998</v>
      </c>
      <c r="AF29">
        <v>8.6989999999999998</v>
      </c>
      <c r="AG29">
        <v>8.1519999999999992</v>
      </c>
      <c r="AH29">
        <v>8.1519999999999992</v>
      </c>
      <c r="AI29">
        <v>7.1829999999999998</v>
      </c>
      <c r="AJ29">
        <v>9.4730000000000008</v>
      </c>
      <c r="AK29">
        <v>9.0150000000000006</v>
      </c>
      <c r="AL29">
        <v>8.1609999999999996</v>
      </c>
      <c r="AM29">
        <v>8.2189999999999994</v>
      </c>
      <c r="AN29">
        <v>8.2189999999999994</v>
      </c>
      <c r="AO29">
        <v>8.1080000000000005</v>
      </c>
      <c r="AP29">
        <v>8.1080000000000005</v>
      </c>
      <c r="AQ29">
        <v>8.1080000000000005</v>
      </c>
      <c r="AR29">
        <v>7.57</v>
      </c>
      <c r="AS29">
        <v>7.9969999999999999</v>
      </c>
      <c r="AT29">
        <v>7.9969999999999999</v>
      </c>
      <c r="AU29">
        <v>7.9969999999999999</v>
      </c>
      <c r="AV29">
        <v>7.9690000000000003</v>
      </c>
      <c r="AW29">
        <v>8.3360000000000003</v>
      </c>
      <c r="AX29">
        <v>8.3360000000000003</v>
      </c>
      <c r="AY29">
        <v>8.3360000000000003</v>
      </c>
      <c r="AZ29">
        <v>9.73</v>
      </c>
      <c r="BA29">
        <v>9.73</v>
      </c>
      <c r="BB29">
        <v>8.077</v>
      </c>
      <c r="BC29">
        <v>8.1080000000000005</v>
      </c>
      <c r="BD29">
        <v>4.9950000000000001</v>
      </c>
      <c r="BE29">
        <v>7.9539999999999997</v>
      </c>
      <c r="BF29">
        <v>7.9539999999999997</v>
      </c>
      <c r="BG29">
        <v>7.9829999999999997</v>
      </c>
      <c r="BH29">
        <v>8.4909999999999997</v>
      </c>
      <c r="BI29">
        <v>8.4909999999999997</v>
      </c>
      <c r="BJ29">
        <v>8.5340000000000007</v>
      </c>
      <c r="BK29">
        <v>8.5340000000000007</v>
      </c>
      <c r="BL29">
        <v>8.5129999999999999</v>
      </c>
      <c r="BM29">
        <v>8.5190000000000001</v>
      </c>
      <c r="BN29">
        <v>8.4269999999999996</v>
      </c>
      <c r="BO29">
        <v>8.032</v>
      </c>
      <c r="BP29">
        <v>8.2330000000000005</v>
      </c>
      <c r="BQ29">
        <v>8.2330000000000005</v>
      </c>
      <c r="BR29">
        <v>8.1020000000000003</v>
      </c>
      <c r="BS29">
        <v>8.0839999999999996</v>
      </c>
      <c r="BT29">
        <v>8.1829999999999998</v>
      </c>
      <c r="BU29">
        <v>8.8439999999999994</v>
      </c>
      <c r="BV29">
        <v>8.8529999999999998</v>
      </c>
      <c r="BW29">
        <v>8.8529999999999998</v>
      </c>
      <c r="BX29">
        <v>8.5120000000000005</v>
      </c>
      <c r="BY29">
        <v>8.3379999999999992</v>
      </c>
      <c r="BZ29">
        <v>8.5429999999999993</v>
      </c>
      <c r="CA29">
        <v>7.8620000000000001</v>
      </c>
      <c r="CB29">
        <v>7.8879999999999999</v>
      </c>
      <c r="CC29">
        <v>7.7370000000000001</v>
      </c>
      <c r="CD29">
        <v>8.0920000000000005</v>
      </c>
      <c r="CE29">
        <v>8.0510000000000002</v>
      </c>
      <c r="CF29">
        <v>7.9409999999999998</v>
      </c>
      <c r="CG29">
        <v>8.06</v>
      </c>
      <c r="CH29">
        <v>8.3480000000000008</v>
      </c>
      <c r="CI29">
        <v>8.1389999999999993</v>
      </c>
      <c r="CJ29">
        <v>8.484</v>
      </c>
      <c r="CK29">
        <v>8.4779999999999998</v>
      </c>
      <c r="CL29">
        <v>8.43</v>
      </c>
      <c r="CM29">
        <v>8.43</v>
      </c>
      <c r="CN29">
        <v>9.73</v>
      </c>
      <c r="CO29">
        <v>9.73</v>
      </c>
      <c r="CS29">
        <v>9.9830000000000005</v>
      </c>
      <c r="CT29">
        <v>7.7859999999999996</v>
      </c>
      <c r="CU29">
        <v>8.4480000000000004</v>
      </c>
      <c r="CV29">
        <v>8.3770000000000007</v>
      </c>
      <c r="CY29">
        <v>8.3350000000000009</v>
      </c>
    </row>
    <row r="30" spans="2:103" x14ac:dyDescent="0.35">
      <c r="C30" t="s">
        <v>278</v>
      </c>
      <c r="D30" s="56">
        <f>SUMPRODUCT(D18:D29,$B$18:$B$29)/SUM($B$18:$B$29)</f>
        <v>7.1962101300479118</v>
      </c>
      <c r="E30" s="56">
        <f t="shared" ref="E30:BP30" si="48">SUMPRODUCT(E18:E29,$B$18:$B$29)/SUM($B$18:$B$29)</f>
        <v>7.1962101300479118</v>
      </c>
      <c r="F30" s="56">
        <f t="shared" si="48"/>
        <v>7.6024277891854899</v>
      </c>
      <c r="G30" s="56">
        <f t="shared" si="48"/>
        <v>7.6701800136892526</v>
      </c>
      <c r="H30" s="56">
        <f t="shared" si="48"/>
        <v>6.3745557837097868</v>
      </c>
      <c r="I30" s="56">
        <f t="shared" si="48"/>
        <v>6.3745557837097868</v>
      </c>
      <c r="J30" s="56">
        <f t="shared" si="48"/>
        <v>6.3745557837097868</v>
      </c>
      <c r="K30" s="56">
        <f t="shared" si="48"/>
        <v>6.3745557837097868</v>
      </c>
      <c r="L30" s="56">
        <f t="shared" si="48"/>
        <v>8.6337241615331966</v>
      </c>
      <c r="M30" s="56">
        <f t="shared" si="48"/>
        <v>8.6337241615331966</v>
      </c>
      <c r="N30" s="56">
        <f t="shared" si="48"/>
        <v>8.6337241615331966</v>
      </c>
      <c r="O30" s="56">
        <f t="shared" si="48"/>
        <v>8.2782511978097197</v>
      </c>
      <c r="P30" s="56">
        <f t="shared" si="48"/>
        <v>7.2801334702258726</v>
      </c>
      <c r="Q30" s="56">
        <f t="shared" si="48"/>
        <v>7.783503080082137</v>
      </c>
      <c r="R30" s="56">
        <f t="shared" si="48"/>
        <v>7.5622340862423014</v>
      </c>
      <c r="S30" s="56">
        <f t="shared" si="48"/>
        <v>7.5622340862423014</v>
      </c>
      <c r="T30" s="56">
        <f t="shared" si="48"/>
        <v>7.5622340862423014</v>
      </c>
      <c r="U30" s="56">
        <f t="shared" si="48"/>
        <v>6.9043997262149208</v>
      </c>
      <c r="V30" s="56">
        <f t="shared" si="48"/>
        <v>7.5949637234770693</v>
      </c>
      <c r="W30" s="56">
        <f t="shared" si="48"/>
        <v>7.5949637234770693</v>
      </c>
      <c r="X30" s="56">
        <f t="shared" si="48"/>
        <v>7.5949637234770693</v>
      </c>
      <c r="Y30" s="56">
        <f t="shared" si="48"/>
        <v>7.5949637234770693</v>
      </c>
      <c r="Z30" s="56">
        <f t="shared" si="48"/>
        <v>7.5114339493497608</v>
      </c>
      <c r="AA30" s="56">
        <f t="shared" si="48"/>
        <v>6.7526392881587967</v>
      </c>
      <c r="AB30" s="56">
        <f t="shared" si="48"/>
        <v>6.7526392881587967</v>
      </c>
      <c r="AC30" s="56">
        <f t="shared" si="48"/>
        <v>6.7526392881587967</v>
      </c>
      <c r="AD30" s="56">
        <f t="shared" si="48"/>
        <v>6.7526392881587967</v>
      </c>
      <c r="AE30" s="56">
        <f t="shared" si="48"/>
        <v>7.4585448323066386</v>
      </c>
      <c r="AF30" s="56">
        <f t="shared" si="48"/>
        <v>7.4585448323066386</v>
      </c>
      <c r="AG30" s="56">
        <f t="shared" si="48"/>
        <v>7.0160841889117025</v>
      </c>
      <c r="AH30" s="56">
        <f t="shared" si="48"/>
        <v>7.0160841889117025</v>
      </c>
      <c r="AI30" s="56">
        <f t="shared" si="48"/>
        <v>6.7384989733059548</v>
      </c>
      <c r="AJ30" s="56">
        <f t="shared" si="48"/>
        <v>7.8667049965776874</v>
      </c>
      <c r="AK30" s="56">
        <f t="shared" si="48"/>
        <v>7.6934257357973994</v>
      </c>
      <c r="AL30" s="56">
        <f t="shared" si="48"/>
        <v>6.8509582477754964</v>
      </c>
      <c r="AM30" s="56">
        <f t="shared" si="48"/>
        <v>7.0621273100616015</v>
      </c>
      <c r="AN30" s="56">
        <f t="shared" si="48"/>
        <v>7.0621273100616015</v>
      </c>
      <c r="AO30" s="56">
        <f t="shared" si="48"/>
        <v>6.822483230663928</v>
      </c>
      <c r="AP30" s="56">
        <f t="shared" si="48"/>
        <v>6.822483230663928</v>
      </c>
      <c r="AQ30" s="56">
        <f t="shared" si="48"/>
        <v>6.822483230663928</v>
      </c>
      <c r="AR30" s="56">
        <f t="shared" si="48"/>
        <v>7.021605065023957</v>
      </c>
      <c r="AS30" s="56">
        <f t="shared" si="48"/>
        <v>6.8013559206023277</v>
      </c>
      <c r="AT30" s="56">
        <f t="shared" si="48"/>
        <v>6.8013559206023277</v>
      </c>
      <c r="AU30" s="56">
        <f t="shared" si="48"/>
        <v>6.8013559206023277</v>
      </c>
      <c r="AV30" s="56">
        <f t="shared" si="48"/>
        <v>6.7200807665982216</v>
      </c>
      <c r="AW30" s="56">
        <f t="shared" si="48"/>
        <v>7.064126625598905</v>
      </c>
      <c r="AX30" s="56">
        <f t="shared" si="48"/>
        <v>7.064126625598905</v>
      </c>
      <c r="AY30" s="56">
        <f t="shared" si="48"/>
        <v>7.064126625598905</v>
      </c>
      <c r="AZ30" s="56">
        <f t="shared" si="48"/>
        <v>8.5129356605065034</v>
      </c>
      <c r="BA30" s="56">
        <f t="shared" si="48"/>
        <v>8.5129356605065034</v>
      </c>
      <c r="BB30" s="56">
        <f t="shared" si="48"/>
        <v>6.822748802190282</v>
      </c>
      <c r="BC30" s="56">
        <f t="shared" si="48"/>
        <v>6.822483230663928</v>
      </c>
      <c r="BD30" s="56">
        <f t="shared" si="48"/>
        <v>4.2609733059548249</v>
      </c>
      <c r="BE30" s="56">
        <f t="shared" si="48"/>
        <v>6.6040246406570855</v>
      </c>
      <c r="BF30" s="56">
        <f t="shared" si="48"/>
        <v>6.6040246406570855</v>
      </c>
      <c r="BG30" s="56">
        <f t="shared" si="48"/>
        <v>6.9224579055441486</v>
      </c>
      <c r="BH30" s="56">
        <f t="shared" si="48"/>
        <v>7.2601225188227234</v>
      </c>
      <c r="BI30" s="56">
        <f t="shared" si="48"/>
        <v>7.2601225188227234</v>
      </c>
      <c r="BJ30" s="56">
        <f t="shared" si="48"/>
        <v>7.2584366872005495</v>
      </c>
      <c r="BK30" s="56">
        <f t="shared" si="48"/>
        <v>7.2584366872005495</v>
      </c>
      <c r="BL30" s="56">
        <f t="shared" si="48"/>
        <v>7.2032888432580435</v>
      </c>
      <c r="BM30" s="56">
        <f t="shared" si="48"/>
        <v>7.2899746748802183</v>
      </c>
      <c r="BN30" s="56">
        <f t="shared" si="48"/>
        <v>7.272796714579056</v>
      </c>
      <c r="BO30" s="56">
        <f t="shared" si="48"/>
        <v>6.929765229295004</v>
      </c>
      <c r="BP30" s="56">
        <f t="shared" si="48"/>
        <v>6.8752073921971251</v>
      </c>
      <c r="BQ30" s="56">
        <f t="shared" ref="BQ30:CY30" si="49">SUMPRODUCT(BQ18:BQ29,$B$18:$B$29)/SUM($B$18:$B$29)</f>
        <v>6.8752073921971251</v>
      </c>
      <c r="BR30" s="56">
        <f t="shared" si="49"/>
        <v>6.9581190965092405</v>
      </c>
      <c r="BS30" s="56">
        <f t="shared" si="49"/>
        <v>6.9472012320328531</v>
      </c>
      <c r="BT30" s="56">
        <f t="shared" si="49"/>
        <v>6.8997802874743313</v>
      </c>
      <c r="BU30" s="56">
        <f t="shared" si="49"/>
        <v>7.5266276522929516</v>
      </c>
      <c r="BV30" s="56">
        <f t="shared" si="49"/>
        <v>7.5335742642026009</v>
      </c>
      <c r="BW30" s="56">
        <f t="shared" si="49"/>
        <v>7.5335742642026009</v>
      </c>
      <c r="BX30" s="56">
        <f t="shared" si="49"/>
        <v>7.240082819986311</v>
      </c>
      <c r="BY30" s="56">
        <f t="shared" si="49"/>
        <v>7.1725311430527032</v>
      </c>
      <c r="BZ30" s="56">
        <f t="shared" si="49"/>
        <v>8.1129979466119089</v>
      </c>
      <c r="CA30" s="56">
        <f t="shared" si="49"/>
        <v>6.7029014373716649</v>
      </c>
      <c r="CB30" s="56">
        <f t="shared" si="49"/>
        <v>6.6913552361396302</v>
      </c>
      <c r="CC30" s="56">
        <f t="shared" si="49"/>
        <v>6.7023812457221092</v>
      </c>
      <c r="CD30" s="56">
        <f t="shared" si="49"/>
        <v>6.8168637919233399</v>
      </c>
      <c r="CE30" s="56">
        <f t="shared" si="49"/>
        <v>6.814661875427789</v>
      </c>
      <c r="CF30" s="56">
        <f t="shared" si="49"/>
        <v>6.7183771389459279</v>
      </c>
      <c r="CG30" s="56">
        <f t="shared" si="49"/>
        <v>6.8295653661875431</v>
      </c>
      <c r="CH30" s="56">
        <f t="shared" si="49"/>
        <v>7.2202416153319655</v>
      </c>
      <c r="CI30" s="56">
        <f t="shared" si="49"/>
        <v>7.0100602327173167</v>
      </c>
      <c r="CJ30" s="56">
        <f t="shared" si="49"/>
        <v>7.2507091033538673</v>
      </c>
      <c r="CK30" s="56">
        <f t="shared" si="49"/>
        <v>7.2143456536618755</v>
      </c>
      <c r="CL30" s="56">
        <f t="shared" si="49"/>
        <v>7.229557837097877</v>
      </c>
      <c r="CM30" s="56">
        <f t="shared" si="49"/>
        <v>7.229557837097877</v>
      </c>
      <c r="CN30" s="56">
        <f t="shared" si="49"/>
        <v>8.5129356605065034</v>
      </c>
      <c r="CO30" s="56">
        <f t="shared" si="49"/>
        <v>8.5129356605065034</v>
      </c>
      <c r="CP30" s="56"/>
      <c r="CQ30" s="56"/>
      <c r="CR30" s="56"/>
      <c r="CS30" s="56">
        <f t="shared" si="49"/>
        <v>8.6337241615331966</v>
      </c>
      <c r="CT30" s="56">
        <f t="shared" si="49"/>
        <v>6.8368569472963729</v>
      </c>
      <c r="CU30" s="56">
        <f t="shared" si="49"/>
        <v>7.2735660506502402</v>
      </c>
      <c r="CV30" s="56">
        <f t="shared" si="49"/>
        <v>7.0284907597535931</v>
      </c>
      <c r="CW30" s="56"/>
      <c r="CX30" s="56"/>
      <c r="CY30" s="56">
        <f t="shared" si="49"/>
        <v>7.2284825462012332</v>
      </c>
    </row>
    <row r="31" spans="2:103" x14ac:dyDescent="0.35">
      <c r="C31" s="63" t="s">
        <v>279</v>
      </c>
      <c r="D31">
        <v>2.09</v>
      </c>
      <c r="E31">
        <v>2.09</v>
      </c>
      <c r="F31">
        <v>2.6</v>
      </c>
      <c r="G31">
        <v>2.5</v>
      </c>
      <c r="H31">
        <v>2.2999999999999998</v>
      </c>
      <c r="I31">
        <v>2.2999999999999998</v>
      </c>
      <c r="J31">
        <v>2.2999999999999998</v>
      </c>
      <c r="K31">
        <v>2.2999999999999998</v>
      </c>
      <c r="L31">
        <v>1.76</v>
      </c>
      <c r="M31">
        <v>1.76</v>
      </c>
      <c r="N31">
        <v>1.89</v>
      </c>
      <c r="O31">
        <v>2</v>
      </c>
      <c r="P31">
        <v>2.08</v>
      </c>
      <c r="Q31">
        <v>2.35</v>
      </c>
      <c r="R31">
        <v>2.5</v>
      </c>
      <c r="S31">
        <v>2.5</v>
      </c>
      <c r="T31">
        <v>2.5</v>
      </c>
      <c r="U31">
        <v>2.42</v>
      </c>
      <c r="V31">
        <v>2</v>
      </c>
      <c r="W31">
        <v>2</v>
      </c>
      <c r="X31">
        <v>2</v>
      </c>
      <c r="Y31">
        <v>2</v>
      </c>
      <c r="Z31">
        <v>2.2200000000000002</v>
      </c>
      <c r="AA31">
        <v>2.39</v>
      </c>
      <c r="AB31">
        <v>2.39</v>
      </c>
      <c r="AC31">
        <v>2.39</v>
      </c>
      <c r="AD31">
        <v>2.39</v>
      </c>
      <c r="AE31">
        <v>2.3199999999999998</v>
      </c>
      <c r="AF31">
        <v>2.3199999999999998</v>
      </c>
      <c r="AG31">
        <v>2.36</v>
      </c>
      <c r="AH31">
        <v>2.36</v>
      </c>
      <c r="AI31">
        <v>2.14</v>
      </c>
      <c r="AJ31">
        <v>2.62</v>
      </c>
      <c r="AK31">
        <v>2.65</v>
      </c>
      <c r="AL31">
        <v>2.5</v>
      </c>
      <c r="AM31">
        <v>2.5299999999999998</v>
      </c>
      <c r="AN31">
        <v>2.5299999999999998</v>
      </c>
      <c r="AO31">
        <v>2.29</v>
      </c>
      <c r="AP31">
        <v>2.29</v>
      </c>
      <c r="AQ31">
        <v>2.29</v>
      </c>
      <c r="AR31">
        <v>2.54</v>
      </c>
      <c r="AS31">
        <v>2.5</v>
      </c>
      <c r="AT31">
        <v>2.5</v>
      </c>
      <c r="AU31">
        <v>2.5</v>
      </c>
      <c r="AV31">
        <v>2.33</v>
      </c>
      <c r="AW31">
        <v>2.59</v>
      </c>
      <c r="AX31">
        <v>2.59</v>
      </c>
      <c r="AY31">
        <v>2.59</v>
      </c>
      <c r="AZ31">
        <v>2.0099999999999998</v>
      </c>
      <c r="BA31">
        <v>2.0099999999999998</v>
      </c>
      <c r="BB31">
        <v>2.38</v>
      </c>
      <c r="BC31">
        <v>2.31</v>
      </c>
      <c r="BD31">
        <v>2.44</v>
      </c>
      <c r="BE31">
        <v>2</v>
      </c>
      <c r="BF31">
        <v>2</v>
      </c>
      <c r="BG31">
        <v>1.8</v>
      </c>
      <c r="BH31">
        <v>2.2000000000000002</v>
      </c>
      <c r="BI31">
        <v>2.2000000000000002</v>
      </c>
      <c r="BJ31">
        <v>1.8</v>
      </c>
      <c r="BK31">
        <v>1.8</v>
      </c>
      <c r="BL31">
        <v>1.92</v>
      </c>
      <c r="BM31">
        <v>2.1</v>
      </c>
      <c r="BN31">
        <v>2</v>
      </c>
      <c r="BO31">
        <v>2</v>
      </c>
      <c r="BP31">
        <v>2.2999999999999998</v>
      </c>
      <c r="BQ31">
        <v>2.2999999999999998</v>
      </c>
      <c r="BR31">
        <v>2.2400000000000002</v>
      </c>
      <c r="BS31">
        <v>2.2400000000000002</v>
      </c>
      <c r="BT31">
        <v>2.1</v>
      </c>
      <c r="BU31">
        <v>2.2999999999999998</v>
      </c>
      <c r="BV31">
        <v>2.1</v>
      </c>
      <c r="BW31">
        <v>2.1</v>
      </c>
      <c r="BX31">
        <v>2.2599999999999998</v>
      </c>
      <c r="BY31">
        <v>2.2000000000000002</v>
      </c>
      <c r="BZ31">
        <v>2.1</v>
      </c>
      <c r="CA31">
        <v>2.1</v>
      </c>
      <c r="CB31">
        <v>2.2999999999999998</v>
      </c>
      <c r="CC31">
        <v>2.1</v>
      </c>
      <c r="CD31">
        <v>2.14</v>
      </c>
      <c r="CE31">
        <v>1.85</v>
      </c>
      <c r="CF31">
        <v>2.1</v>
      </c>
      <c r="CG31">
        <v>2.02</v>
      </c>
      <c r="CH31">
        <v>2</v>
      </c>
      <c r="CI31">
        <v>1.8</v>
      </c>
      <c r="CJ31">
        <v>1.7</v>
      </c>
      <c r="CK31">
        <v>1.9</v>
      </c>
      <c r="CL31">
        <v>2.2000000000000002</v>
      </c>
      <c r="CM31">
        <v>2.2000000000000002</v>
      </c>
      <c r="CN31">
        <v>2.0099999999999998</v>
      </c>
      <c r="CO31">
        <v>2.0099999999999998</v>
      </c>
      <c r="CS31">
        <v>1.73</v>
      </c>
      <c r="CT31">
        <v>2</v>
      </c>
      <c r="CU31">
        <v>2.1</v>
      </c>
      <c r="CV31">
        <v>1.9</v>
      </c>
      <c r="CY31">
        <v>2.11</v>
      </c>
    </row>
    <row r="46" spans="13:14" x14ac:dyDescent="0.35">
      <c r="M46" s="57"/>
      <c r="N46" s="57"/>
    </row>
  </sheetData>
  <sheetProtection algorithmName="SHA-512" hashValue="LmQbqJVW3hvWsEZ4eoM0OKg1MkLsvRUCV/xYnWw781XdxhZ/WdtgPMQcpq50PIrCXP/5obGnpV1xR0+i0g6B5Q==" saltValue="fT9EsA4TJa4aWuEx2nu4fw==" spinCount="100000" sheet="1" objects="1" scenarios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B690D8-090E-46E2-805C-80838751085D}">
  <sheetPr filterMode="1">
    <tabColor rgb="FF92D050"/>
  </sheetPr>
  <dimension ref="A1:AJ120"/>
  <sheetViews>
    <sheetView tabSelected="1" zoomScale="70" zoomScaleNormal="70" workbookViewId="0">
      <pane xSplit="5" ySplit="2" topLeftCell="R107" activePane="bottomRight" state="frozen"/>
      <selection activeCell="DA2" sqref="DA2"/>
      <selection pane="topRight" activeCell="DA2" sqref="DA2"/>
      <selection pane="bottomLeft" activeCell="DA2" sqref="DA2"/>
      <selection pane="bottomRight" activeCell="T107" sqref="T107"/>
    </sheetView>
  </sheetViews>
  <sheetFormatPr baseColWidth="10" defaultColWidth="11.453125" defaultRowHeight="14.5" outlineLevelCol="1" x14ac:dyDescent="0.35"/>
  <cols>
    <col min="1" max="1" width="18.1796875" style="1" customWidth="1" outlineLevel="1"/>
    <col min="2" max="2" width="53.453125" style="12" customWidth="1"/>
    <col min="3" max="4" width="20.26953125" style="1" customWidth="1"/>
    <col min="5" max="5" width="31.1796875" style="1" customWidth="1"/>
    <col min="6" max="7" width="30.7265625" style="9" customWidth="1"/>
    <col min="8" max="8" width="19.1796875" style="11" customWidth="1"/>
    <col min="9" max="9" width="22.81640625" style="10" customWidth="1"/>
    <col min="10" max="11" width="22.453125" style="10" customWidth="1"/>
    <col min="12" max="15" width="21.54296875" style="10" customWidth="1"/>
    <col min="16" max="17" width="22.81640625" style="10" customWidth="1"/>
    <col min="18" max="19" width="19" style="10" customWidth="1"/>
    <col min="20" max="21" width="25.1796875" style="11" customWidth="1"/>
    <col min="22" max="22" width="21.54296875" style="9" customWidth="1"/>
    <col min="23" max="23" width="14" style="13" customWidth="1"/>
    <col min="24" max="24" width="12.7265625" style="87" hidden="1" customWidth="1" outlineLevel="1"/>
    <col min="25" max="25" width="13.453125" style="87" hidden="1" customWidth="1" outlineLevel="1"/>
    <col min="26" max="26" width="12.7265625" style="74" hidden="1" customWidth="1" outlineLevel="1"/>
    <col min="27" max="27" width="11.453125" style="74" hidden="1" customWidth="1" outlineLevel="1"/>
    <col min="28" max="28" width="90.26953125" style="81" hidden="1" customWidth="1" outlineLevel="1"/>
    <col min="29" max="29" width="34.81640625" style="81" hidden="1" customWidth="1" outlineLevel="1"/>
    <col min="30" max="30" width="26.81640625" customWidth="1" collapsed="1"/>
    <col min="31" max="31" width="31.54296875" hidden="1" customWidth="1"/>
    <col min="32" max="32" width="14.453125" customWidth="1"/>
    <col min="33" max="33" width="12.453125" customWidth="1"/>
    <col min="34" max="34" width="11.81640625" customWidth="1"/>
    <col min="35" max="35" width="15" customWidth="1"/>
    <col min="36" max="36" width="5.453125" customWidth="1"/>
  </cols>
  <sheetData>
    <row r="1" spans="1:36" ht="15" thickBot="1" x14ac:dyDescent="0.4">
      <c r="A1" s="245" t="s">
        <v>392</v>
      </c>
      <c r="B1" s="246" t="s">
        <v>393</v>
      </c>
      <c r="E1" s="39"/>
      <c r="F1" s="291" t="s">
        <v>0</v>
      </c>
      <c r="G1" s="292"/>
      <c r="H1" s="282" t="s">
        <v>1</v>
      </c>
      <c r="I1" s="284"/>
      <c r="J1" s="284"/>
      <c r="K1" s="283"/>
      <c r="L1" s="294" t="s">
        <v>2</v>
      </c>
      <c r="M1" s="295"/>
      <c r="N1" s="295"/>
      <c r="O1" s="295"/>
      <c r="P1" s="295"/>
      <c r="Q1" s="296"/>
      <c r="R1" s="294" t="s">
        <v>1</v>
      </c>
      <c r="S1" s="296"/>
      <c r="T1" s="175"/>
      <c r="U1" s="175"/>
      <c r="V1" s="176"/>
      <c r="W1" s="177"/>
      <c r="X1" s="293" t="s">
        <v>3</v>
      </c>
      <c r="Y1" s="293"/>
      <c r="Z1" s="293"/>
      <c r="AA1" s="293"/>
      <c r="AB1" s="293"/>
      <c r="AC1" s="178"/>
    </row>
    <row r="2" spans="1:36" s="7" customFormat="1" ht="109.5" customHeight="1" thickBot="1" x14ac:dyDescent="0.4">
      <c r="A2" s="2" t="s">
        <v>5</v>
      </c>
      <c r="B2" s="15" t="s">
        <v>6</v>
      </c>
      <c r="C2" s="3" t="s">
        <v>320</v>
      </c>
      <c r="D2" s="3" t="s">
        <v>18</v>
      </c>
      <c r="E2" s="6" t="s">
        <v>8</v>
      </c>
      <c r="F2" s="15" t="s">
        <v>9</v>
      </c>
      <c r="G2" s="15" t="s">
        <v>10</v>
      </c>
      <c r="H2" s="236" t="s">
        <v>343</v>
      </c>
      <c r="I2" s="16" t="s">
        <v>11</v>
      </c>
      <c r="J2" s="4" t="s">
        <v>12</v>
      </c>
      <c r="K2" s="17" t="s">
        <v>322</v>
      </c>
      <c r="L2" s="236" t="s">
        <v>383</v>
      </c>
      <c r="M2" s="4" t="s">
        <v>14</v>
      </c>
      <c r="N2" s="4" t="s">
        <v>323</v>
      </c>
      <c r="O2" s="235" t="s">
        <v>384</v>
      </c>
      <c r="P2" s="4" t="s">
        <v>16</v>
      </c>
      <c r="Q2" s="17" t="s">
        <v>324</v>
      </c>
      <c r="R2" s="16" t="s">
        <v>325</v>
      </c>
      <c r="S2" s="17" t="s">
        <v>326</v>
      </c>
      <c r="T2" s="149" t="s">
        <v>327</v>
      </c>
      <c r="U2" s="150" t="s">
        <v>329</v>
      </c>
      <c r="V2" s="3" t="s">
        <v>328</v>
      </c>
      <c r="W2" s="6" t="s">
        <v>20</v>
      </c>
      <c r="X2" s="155" t="s">
        <v>337</v>
      </c>
      <c r="Y2" s="156" t="s">
        <v>22</v>
      </c>
      <c r="Z2" s="156" t="s">
        <v>338</v>
      </c>
      <c r="AA2" s="156" t="s">
        <v>22</v>
      </c>
      <c r="AB2" s="156" t="s">
        <v>24</v>
      </c>
      <c r="AC2" s="157" t="s">
        <v>280</v>
      </c>
      <c r="AD2" s="195" t="s">
        <v>349</v>
      </c>
      <c r="AE2" s="7" t="s">
        <v>366</v>
      </c>
      <c r="AF2" s="7" t="s">
        <v>376</v>
      </c>
      <c r="AG2" s="7" t="s">
        <v>391</v>
      </c>
      <c r="AH2" s="7" t="s">
        <v>388</v>
      </c>
      <c r="AI2" s="244" t="s">
        <v>387</v>
      </c>
      <c r="AJ2" s="7" t="s">
        <v>341</v>
      </c>
    </row>
    <row r="3" spans="1:36" ht="14.15" hidden="1" customHeight="1" x14ac:dyDescent="0.35">
      <c r="A3" s="38" t="s">
        <v>25</v>
      </c>
      <c r="B3" s="179" t="s">
        <v>26</v>
      </c>
      <c r="C3" s="39">
        <v>17000000</v>
      </c>
      <c r="D3" s="39">
        <v>15800000.000000002</v>
      </c>
      <c r="E3" s="40" t="s">
        <v>27</v>
      </c>
      <c r="F3" s="22">
        <v>17000000</v>
      </c>
      <c r="G3" s="35">
        <v>15800000</v>
      </c>
      <c r="H3" s="237">
        <v>0.94</v>
      </c>
      <c r="I3" s="25">
        <v>0.94</v>
      </c>
      <c r="J3" s="123">
        <v>0.94</v>
      </c>
      <c r="K3" s="96">
        <v>0.94</v>
      </c>
      <c r="L3" s="25">
        <v>0</v>
      </c>
      <c r="M3" s="31">
        <v>0</v>
      </c>
      <c r="N3" s="220">
        <v>0</v>
      </c>
      <c r="O3" s="20">
        <v>0</v>
      </c>
      <c r="P3" s="31">
        <v>0</v>
      </c>
      <c r="Q3" s="220">
        <v>0</v>
      </c>
      <c r="R3" s="25">
        <v>0</v>
      </c>
      <c r="S3" s="196">
        <v>0</v>
      </c>
      <c r="T3" s="242">
        <f>F3/H3*K3/(1-L3)*(1-N3)/(1-O3)*(1-Q3)*(1+S3)</f>
        <v>17000000</v>
      </c>
      <c r="U3" s="152">
        <f>G3/I3*K3/(1-L3)*(1-N3)/(1-O3)*(1-Q3)*(1+S3)</f>
        <v>15800000.000000002</v>
      </c>
      <c r="V3" s="31">
        <f t="shared" ref="V3:V10" si="0">(T3-C3)/C3</f>
        <v>0</v>
      </c>
      <c r="X3" s="77">
        <f t="shared" ref="X3:X34" si="1">T3-C3</f>
        <v>0</v>
      </c>
      <c r="Y3" s="78">
        <f t="shared" ref="Y3:Y34" si="2">X3/C3</f>
        <v>0</v>
      </c>
      <c r="Z3" s="97">
        <f t="shared" ref="Z3:Z34" si="3">T3-F3</f>
        <v>0</v>
      </c>
      <c r="AA3" s="79">
        <f t="shared" ref="AA3:AA34" si="4">Z3/F3</f>
        <v>0</v>
      </c>
      <c r="AB3" s="90"/>
      <c r="AC3" s="158"/>
      <c r="AD3" s="90"/>
      <c r="AE3" s="90"/>
      <c r="AF3" s="230">
        <f>(AI3/F3-1)%</f>
        <v>0</v>
      </c>
      <c r="AG3" s="230">
        <f>AI3-F3</f>
        <v>0</v>
      </c>
      <c r="AI3" s="242">
        <v>17000000</v>
      </c>
      <c r="AJ3" s="198" t="s">
        <v>339</v>
      </c>
    </row>
    <row r="4" spans="1:36" ht="14.15" hidden="1" customHeight="1" x14ac:dyDescent="0.35">
      <c r="A4" s="38" t="s">
        <v>28</v>
      </c>
      <c r="B4" s="179" t="s">
        <v>29</v>
      </c>
      <c r="C4" s="39">
        <v>10600000.000000002</v>
      </c>
      <c r="D4" s="39">
        <v>9800000</v>
      </c>
      <c r="E4" s="40" t="s">
        <v>27</v>
      </c>
      <c r="F4" s="22">
        <v>10600000.000000002</v>
      </c>
      <c r="G4" s="35">
        <v>9800000</v>
      </c>
      <c r="H4" s="237">
        <v>0.97499999999999998</v>
      </c>
      <c r="I4" s="25">
        <v>0.97499999999999998</v>
      </c>
      <c r="J4" s="123">
        <v>0.97499999999999998</v>
      </c>
      <c r="K4" s="96">
        <v>0.97499999999999998</v>
      </c>
      <c r="L4" s="25">
        <v>0</v>
      </c>
      <c r="M4" s="31">
        <v>0</v>
      </c>
      <c r="N4" s="221">
        <v>0</v>
      </c>
      <c r="O4" s="20">
        <v>0</v>
      </c>
      <c r="P4" s="31">
        <v>0</v>
      </c>
      <c r="Q4" s="220">
        <v>0</v>
      </c>
      <c r="R4" s="25">
        <v>0</v>
      </c>
      <c r="S4" s="196">
        <v>0</v>
      </c>
      <c r="T4" s="241">
        <f t="shared" ref="T4:T67" si="5">F4/H4*K4/(1-L4)*(1-N4)/(1-O4)*(1-Q4)*(1+S4)</f>
        <v>10600000.000000002</v>
      </c>
      <c r="U4" s="152">
        <f t="shared" ref="U4:U67" si="6">G4/I4*K4/(1-L4)*(1-N4)/(1-O4)*(1-Q4)*(1+S4)</f>
        <v>9800000</v>
      </c>
      <c r="V4" s="31">
        <f t="shared" si="0"/>
        <v>0</v>
      </c>
      <c r="X4" s="77">
        <f t="shared" si="1"/>
        <v>0</v>
      </c>
      <c r="Y4" s="78">
        <f t="shared" si="2"/>
        <v>0</v>
      </c>
      <c r="Z4" s="97">
        <f t="shared" si="3"/>
        <v>0</v>
      </c>
      <c r="AA4" s="79">
        <f t="shared" si="4"/>
        <v>0</v>
      </c>
      <c r="AB4" s="90"/>
      <c r="AC4" s="158"/>
      <c r="AD4" s="90"/>
      <c r="AE4" s="90"/>
      <c r="AF4" s="230">
        <f t="shared" ref="AF4:AF10" si="7">(AI4/F4-1)%</f>
        <v>0</v>
      </c>
      <c r="AG4" s="230">
        <f t="shared" ref="AG4:AG10" si="8">AI4-F4</f>
        <v>0</v>
      </c>
      <c r="AI4" s="241">
        <v>10600000.000000002</v>
      </c>
      <c r="AJ4" s="198" t="s">
        <v>339</v>
      </c>
    </row>
    <row r="5" spans="1:36" ht="14.15" hidden="1" customHeight="1" x14ac:dyDescent="0.35">
      <c r="A5" s="38" t="s">
        <v>30</v>
      </c>
      <c r="B5" s="179" t="s">
        <v>31</v>
      </c>
      <c r="C5" s="39">
        <v>6100000.0000000019</v>
      </c>
      <c r="D5" s="39">
        <v>5600000</v>
      </c>
      <c r="E5" s="40" t="s">
        <v>32</v>
      </c>
      <c r="F5" s="22">
        <v>6100000.0000000019</v>
      </c>
      <c r="G5" s="35">
        <v>5600000</v>
      </c>
      <c r="H5" s="237">
        <v>0.97299999999999998</v>
      </c>
      <c r="I5" s="25">
        <v>0.97299999999999998</v>
      </c>
      <c r="J5" s="123">
        <v>0.97299999999999998</v>
      </c>
      <c r="K5" s="223">
        <v>0.95</v>
      </c>
      <c r="L5" s="25">
        <v>0</v>
      </c>
      <c r="M5" s="31">
        <v>0</v>
      </c>
      <c r="N5" s="221">
        <v>0</v>
      </c>
      <c r="O5" s="20">
        <v>0</v>
      </c>
      <c r="P5" s="31">
        <v>0</v>
      </c>
      <c r="Q5" s="220">
        <v>0</v>
      </c>
      <c r="R5" s="25">
        <v>0</v>
      </c>
      <c r="S5" s="196">
        <v>0</v>
      </c>
      <c r="T5" s="241">
        <f t="shared" si="5"/>
        <v>5955806.7831449136</v>
      </c>
      <c r="U5" s="152">
        <f t="shared" si="6"/>
        <v>5467625.8992805751</v>
      </c>
      <c r="V5" s="31">
        <f t="shared" si="0"/>
        <v>-2.3638232271325936E-2</v>
      </c>
      <c r="X5" s="77">
        <f t="shared" si="1"/>
        <v>-144193.21685508825</v>
      </c>
      <c r="Y5" s="78">
        <f t="shared" si="2"/>
        <v>-2.3638232271325936E-2</v>
      </c>
      <c r="Z5" s="97">
        <f t="shared" si="3"/>
        <v>-144193.21685508825</v>
      </c>
      <c r="AA5" s="79">
        <f t="shared" si="4"/>
        <v>-2.3638232271325936E-2</v>
      </c>
      <c r="AB5" s="90"/>
      <c r="AC5" s="158"/>
      <c r="AD5" s="90"/>
      <c r="AE5" s="90"/>
      <c r="AF5" s="230">
        <f t="shared" si="7"/>
        <v>0</v>
      </c>
      <c r="AG5" s="230">
        <f t="shared" si="8"/>
        <v>0</v>
      </c>
      <c r="AI5" s="241">
        <v>6100000.0000000019</v>
      </c>
      <c r="AJ5" s="198" t="s">
        <v>339</v>
      </c>
    </row>
    <row r="6" spans="1:36" ht="14.15" hidden="1" customHeight="1" x14ac:dyDescent="0.35">
      <c r="A6" s="38" t="s">
        <v>33</v>
      </c>
      <c r="B6" s="179" t="s">
        <v>34</v>
      </c>
      <c r="C6" s="39">
        <v>17700000.261780106</v>
      </c>
      <c r="D6" s="39">
        <v>15980571.664921466</v>
      </c>
      <c r="E6" s="40" t="s">
        <v>32</v>
      </c>
      <c r="F6" s="22">
        <v>17500000</v>
      </c>
      <c r="G6" s="35">
        <v>15800000</v>
      </c>
      <c r="H6" s="237">
        <v>0.95499999999999996</v>
      </c>
      <c r="I6" s="25">
        <v>0.95499999999999996</v>
      </c>
      <c r="J6" s="124">
        <v>0.9659143</v>
      </c>
      <c r="K6" s="96">
        <v>0.9659143</v>
      </c>
      <c r="L6" s="25">
        <v>0</v>
      </c>
      <c r="M6" s="31">
        <v>0</v>
      </c>
      <c r="N6" s="221">
        <v>0</v>
      </c>
      <c r="O6" s="20">
        <v>0</v>
      </c>
      <c r="P6" s="31">
        <v>0</v>
      </c>
      <c r="Q6" s="220">
        <v>0</v>
      </c>
      <c r="R6" s="25">
        <v>0</v>
      </c>
      <c r="S6" s="196">
        <v>0</v>
      </c>
      <c r="T6" s="241">
        <f t="shared" si="5"/>
        <v>17700000.261780106</v>
      </c>
      <c r="U6" s="152">
        <f t="shared" si="6"/>
        <v>15980571.664921466</v>
      </c>
      <c r="V6" s="31">
        <f t="shared" si="0"/>
        <v>0</v>
      </c>
      <c r="X6" s="77">
        <f t="shared" si="1"/>
        <v>0</v>
      </c>
      <c r="Y6" s="78">
        <f t="shared" si="2"/>
        <v>0</v>
      </c>
      <c r="Z6" s="97">
        <f t="shared" si="3"/>
        <v>200000.26178010553</v>
      </c>
      <c r="AA6" s="79">
        <f t="shared" si="4"/>
        <v>1.1428586387434601E-2</v>
      </c>
      <c r="AB6" s="90"/>
      <c r="AC6" s="158"/>
      <c r="AD6" s="90"/>
      <c r="AE6" s="90" t="s">
        <v>281</v>
      </c>
      <c r="AF6" s="230">
        <f t="shared" si="7"/>
        <v>0</v>
      </c>
      <c r="AG6" s="230">
        <f t="shared" si="8"/>
        <v>0</v>
      </c>
      <c r="AI6" s="241">
        <v>17500000</v>
      </c>
      <c r="AJ6" s="198" t="s">
        <v>339</v>
      </c>
    </row>
    <row r="7" spans="1:36" ht="14.15" hidden="1" customHeight="1" x14ac:dyDescent="0.35">
      <c r="A7" s="38" t="s">
        <v>35</v>
      </c>
      <c r="B7" s="180" t="s">
        <v>36</v>
      </c>
      <c r="C7" s="39">
        <v>18896831.535788734</v>
      </c>
      <c r="D7" s="39">
        <v>17230294.823364921</v>
      </c>
      <c r="E7" s="40" t="s">
        <v>27</v>
      </c>
      <c r="F7" s="22">
        <v>18697917.519622538</v>
      </c>
      <c r="G7" s="35">
        <v>17048923.298908446</v>
      </c>
      <c r="H7" s="237">
        <v>0.94</v>
      </c>
      <c r="I7" s="101">
        <v>0.94</v>
      </c>
      <c r="J7" s="124">
        <f>94%+1%</f>
        <v>0.95</v>
      </c>
      <c r="K7" s="96">
        <v>0.95</v>
      </c>
      <c r="L7" s="25">
        <v>0</v>
      </c>
      <c r="M7" s="31" t="s">
        <v>37</v>
      </c>
      <c r="N7" s="203">
        <v>0</v>
      </c>
      <c r="O7" s="20">
        <v>0</v>
      </c>
      <c r="P7" s="31">
        <v>0</v>
      </c>
      <c r="Q7" s="220">
        <v>0</v>
      </c>
      <c r="R7" s="25">
        <v>0</v>
      </c>
      <c r="S7" s="196">
        <v>0</v>
      </c>
      <c r="T7" s="241">
        <f t="shared" si="5"/>
        <v>18896831.535788734</v>
      </c>
      <c r="U7" s="153">
        <f t="shared" si="6"/>
        <v>17230294.823364921</v>
      </c>
      <c r="V7" s="31">
        <f t="shared" si="0"/>
        <v>0</v>
      </c>
      <c r="W7" s="13" t="s">
        <v>38</v>
      </c>
      <c r="X7" s="77">
        <f t="shared" si="1"/>
        <v>0</v>
      </c>
      <c r="Y7" s="78">
        <f t="shared" si="2"/>
        <v>0</v>
      </c>
      <c r="Z7" s="97">
        <f t="shared" si="3"/>
        <v>198914.01616619527</v>
      </c>
      <c r="AA7" s="79">
        <f t="shared" si="4"/>
        <v>1.0638297872340321E-2</v>
      </c>
      <c r="AB7" s="90"/>
      <c r="AC7" s="159" t="s">
        <v>282</v>
      </c>
      <c r="AD7" s="90"/>
      <c r="AE7" s="90"/>
      <c r="AF7" s="230">
        <f t="shared" si="7"/>
        <v>0</v>
      </c>
      <c r="AG7" s="230">
        <f t="shared" si="8"/>
        <v>0</v>
      </c>
      <c r="AI7" s="241">
        <v>18697917.519622538</v>
      </c>
      <c r="AJ7" s="198" t="s">
        <v>339</v>
      </c>
    </row>
    <row r="8" spans="1:36" ht="14.15" hidden="1" customHeight="1" x14ac:dyDescent="0.35">
      <c r="A8" s="38" t="s">
        <v>39</v>
      </c>
      <c r="B8" s="180" t="s">
        <v>40</v>
      </c>
      <c r="C8" s="39">
        <v>12584122.271967255</v>
      </c>
      <c r="D8" s="39">
        <v>11474311.787593463</v>
      </c>
      <c r="E8" s="40" t="s">
        <v>27</v>
      </c>
      <c r="F8" s="22">
        <v>12451657.826999178</v>
      </c>
      <c r="G8" s="35">
        <v>11353529.558250373</v>
      </c>
      <c r="H8" s="237">
        <v>0.94</v>
      </c>
      <c r="I8" s="101">
        <v>0.94</v>
      </c>
      <c r="J8" s="124">
        <f>94%+1%</f>
        <v>0.95</v>
      </c>
      <c r="K8" s="96">
        <v>0.95</v>
      </c>
      <c r="L8" s="25">
        <v>0</v>
      </c>
      <c r="M8" s="31" t="s">
        <v>37</v>
      </c>
      <c r="N8" s="203">
        <v>0</v>
      </c>
      <c r="O8" s="20">
        <v>0</v>
      </c>
      <c r="P8" s="31">
        <v>0</v>
      </c>
      <c r="Q8" s="220">
        <v>0</v>
      </c>
      <c r="R8" s="25">
        <v>0</v>
      </c>
      <c r="S8" s="196">
        <v>0</v>
      </c>
      <c r="T8" s="241">
        <f t="shared" si="5"/>
        <v>12584122.271967255</v>
      </c>
      <c r="U8" s="153">
        <f t="shared" si="6"/>
        <v>11474311.787593463</v>
      </c>
      <c r="V8" s="31">
        <f t="shared" si="0"/>
        <v>0</v>
      </c>
      <c r="W8" s="13" t="s">
        <v>38</v>
      </c>
      <c r="X8" s="77">
        <f t="shared" si="1"/>
        <v>0</v>
      </c>
      <c r="Y8" s="78">
        <f t="shared" si="2"/>
        <v>0</v>
      </c>
      <c r="Z8" s="97">
        <f t="shared" si="3"/>
        <v>132464.44496807642</v>
      </c>
      <c r="AA8" s="79">
        <f t="shared" si="4"/>
        <v>1.063829787234043E-2</v>
      </c>
      <c r="AB8" s="90"/>
      <c r="AC8" s="159" t="s">
        <v>282</v>
      </c>
      <c r="AD8" s="90"/>
      <c r="AE8" s="90"/>
      <c r="AF8" s="230">
        <f t="shared" si="7"/>
        <v>0</v>
      </c>
      <c r="AG8" s="230">
        <f t="shared" si="8"/>
        <v>0</v>
      </c>
      <c r="AI8" s="241">
        <v>12451657.826999178</v>
      </c>
      <c r="AJ8" s="198" t="s">
        <v>339</v>
      </c>
    </row>
    <row r="9" spans="1:36" ht="14.15" hidden="1" customHeight="1" x14ac:dyDescent="0.35">
      <c r="A9" s="38" t="s">
        <v>41</v>
      </c>
      <c r="B9" s="180" t="s">
        <v>42</v>
      </c>
      <c r="C9" s="39">
        <v>16344528.634079646</v>
      </c>
      <c r="D9" s="39">
        <v>14903082.909997884</v>
      </c>
      <c r="E9" s="40" t="s">
        <v>27</v>
      </c>
      <c r="F9" s="22">
        <v>16172480.964247229</v>
      </c>
      <c r="G9" s="35">
        <v>14746208.353050539</v>
      </c>
      <c r="H9" s="237">
        <v>0.94</v>
      </c>
      <c r="I9" s="101">
        <v>0.94</v>
      </c>
      <c r="J9" s="124">
        <f>94%+1%</f>
        <v>0.95</v>
      </c>
      <c r="K9" s="96">
        <v>0.95</v>
      </c>
      <c r="L9" s="25">
        <v>0</v>
      </c>
      <c r="M9" s="31" t="s">
        <v>37</v>
      </c>
      <c r="N9" s="203">
        <v>0</v>
      </c>
      <c r="O9" s="20">
        <v>0</v>
      </c>
      <c r="P9" s="31">
        <v>0</v>
      </c>
      <c r="Q9" s="220">
        <v>0</v>
      </c>
      <c r="R9" s="25">
        <v>0</v>
      </c>
      <c r="S9" s="196">
        <v>0</v>
      </c>
      <c r="T9" s="241">
        <f t="shared" si="5"/>
        <v>16344528.634079646</v>
      </c>
      <c r="U9" s="153">
        <f t="shared" si="6"/>
        <v>14903082.909997884</v>
      </c>
      <c r="V9" s="31">
        <f t="shared" si="0"/>
        <v>0</v>
      </c>
      <c r="W9" s="13" t="s">
        <v>38</v>
      </c>
      <c r="X9" s="77">
        <f t="shared" si="1"/>
        <v>0</v>
      </c>
      <c r="Y9" s="78">
        <f t="shared" si="2"/>
        <v>0</v>
      </c>
      <c r="Z9" s="97">
        <f t="shared" si="3"/>
        <v>172047.66983241774</v>
      </c>
      <c r="AA9" s="79">
        <f t="shared" si="4"/>
        <v>1.0638297872340451E-2</v>
      </c>
      <c r="AB9" s="90"/>
      <c r="AC9" s="159" t="s">
        <v>282</v>
      </c>
      <c r="AD9" s="90"/>
      <c r="AE9" s="90"/>
      <c r="AF9" s="230">
        <f t="shared" si="7"/>
        <v>0</v>
      </c>
      <c r="AG9" s="230">
        <f t="shared" si="8"/>
        <v>0</v>
      </c>
      <c r="AI9" s="241">
        <v>16172480.964247229</v>
      </c>
      <c r="AJ9" s="198" t="s">
        <v>339</v>
      </c>
    </row>
    <row r="10" spans="1:36" ht="14.15" hidden="1" customHeight="1" x14ac:dyDescent="0.35">
      <c r="A10" s="38" t="s">
        <v>43</v>
      </c>
      <c r="B10" s="180" t="s">
        <v>44</v>
      </c>
      <c r="C10" s="39">
        <v>19786219.685823932</v>
      </c>
      <c r="D10" s="39">
        <v>18041246.649256505</v>
      </c>
      <c r="E10" s="40" t="s">
        <v>27</v>
      </c>
      <c r="F10" s="22">
        <v>19577943.689131051</v>
      </c>
      <c r="G10" s="35">
        <v>17851338.789790649</v>
      </c>
      <c r="H10" s="237">
        <v>0.94</v>
      </c>
      <c r="I10" s="101">
        <v>0.94</v>
      </c>
      <c r="J10" s="124">
        <f>94%+1%</f>
        <v>0.95</v>
      </c>
      <c r="K10" s="96">
        <v>0.95</v>
      </c>
      <c r="L10" s="25">
        <v>0</v>
      </c>
      <c r="M10" s="31" t="s">
        <v>37</v>
      </c>
      <c r="N10" s="203">
        <v>0</v>
      </c>
      <c r="O10" s="20">
        <v>0</v>
      </c>
      <c r="P10" s="31">
        <v>0</v>
      </c>
      <c r="Q10" s="220">
        <v>0</v>
      </c>
      <c r="R10" s="25">
        <v>0</v>
      </c>
      <c r="S10" s="196">
        <v>0</v>
      </c>
      <c r="T10" s="241">
        <f t="shared" si="5"/>
        <v>19786219.685823932</v>
      </c>
      <c r="U10" s="153">
        <f t="shared" si="6"/>
        <v>18041246.649256505</v>
      </c>
      <c r="V10" s="31">
        <f t="shared" si="0"/>
        <v>0</v>
      </c>
      <c r="W10" s="13" t="s">
        <v>38</v>
      </c>
      <c r="X10" s="77">
        <f t="shared" si="1"/>
        <v>0</v>
      </c>
      <c r="Y10" s="78">
        <f t="shared" si="2"/>
        <v>0</v>
      </c>
      <c r="Z10" s="97">
        <f t="shared" si="3"/>
        <v>208275.99669288099</v>
      </c>
      <c r="AA10" s="79">
        <f t="shared" si="4"/>
        <v>1.0638297872340295E-2</v>
      </c>
      <c r="AB10" s="90"/>
      <c r="AC10" s="159" t="s">
        <v>282</v>
      </c>
      <c r="AD10" s="90"/>
      <c r="AE10" s="90"/>
      <c r="AF10" s="230">
        <f t="shared" si="7"/>
        <v>0</v>
      </c>
      <c r="AG10" s="230">
        <f t="shared" si="8"/>
        <v>0</v>
      </c>
      <c r="AI10" s="241">
        <v>19577943.689131051</v>
      </c>
      <c r="AJ10" s="198" t="s">
        <v>339</v>
      </c>
    </row>
    <row r="11" spans="1:36" ht="14.15" hidden="1" customHeight="1" x14ac:dyDescent="0.35">
      <c r="A11" s="38" t="s">
        <v>45</v>
      </c>
      <c r="B11" s="181" t="s">
        <v>46</v>
      </c>
      <c r="C11" s="129" t="s">
        <v>47</v>
      </c>
      <c r="D11" s="129" t="s">
        <v>47</v>
      </c>
      <c r="E11" s="130" t="s">
        <v>27</v>
      </c>
      <c r="F11" s="131" t="s">
        <v>47</v>
      </c>
      <c r="G11" s="132" t="s">
        <v>47</v>
      </c>
      <c r="H11" s="133" t="s">
        <v>47</v>
      </c>
      <c r="I11" s="133" t="s">
        <v>47</v>
      </c>
      <c r="J11" s="134" t="s">
        <v>47</v>
      </c>
      <c r="K11" s="135"/>
      <c r="L11" s="133" t="s">
        <v>47</v>
      </c>
      <c r="M11" s="136" t="s">
        <v>47</v>
      </c>
      <c r="N11" s="136" t="s">
        <v>47</v>
      </c>
      <c r="O11" s="136" t="s">
        <v>47</v>
      </c>
      <c r="P11" s="136" t="s">
        <v>47</v>
      </c>
      <c r="Q11" s="137"/>
      <c r="R11" s="138" t="s">
        <v>47</v>
      </c>
      <c r="S11" s="139"/>
      <c r="T11" s="139"/>
      <c r="U11" s="154" t="e">
        <f t="shared" si="6"/>
        <v>#VALUE!</v>
      </c>
      <c r="V11" s="144" t="s">
        <v>47</v>
      </c>
      <c r="W11" s="160" t="s">
        <v>48</v>
      </c>
      <c r="X11" s="140" t="e">
        <f t="shared" si="1"/>
        <v>#VALUE!</v>
      </c>
      <c r="Y11" s="141" t="e">
        <f t="shared" si="2"/>
        <v>#VALUE!</v>
      </c>
      <c r="Z11" s="161" t="e">
        <f t="shared" si="3"/>
        <v>#VALUE!</v>
      </c>
      <c r="AA11" s="142" t="e">
        <f t="shared" si="4"/>
        <v>#VALUE!</v>
      </c>
      <c r="AB11" s="143"/>
      <c r="AC11" s="162"/>
      <c r="AD11" s="90"/>
      <c r="AE11" s="90"/>
      <c r="AF11" s="130" t="s">
        <v>47</v>
      </c>
      <c r="AG11" s="130" t="s">
        <v>47</v>
      </c>
      <c r="AH11" s="130" t="s">
        <v>47</v>
      </c>
      <c r="AI11" s="241" t="s">
        <v>47</v>
      </c>
      <c r="AJ11" s="198" t="s">
        <v>47</v>
      </c>
    </row>
    <row r="12" spans="1:36" ht="14.15" hidden="1" customHeight="1" x14ac:dyDescent="0.35">
      <c r="A12" s="38" t="s">
        <v>49</v>
      </c>
      <c r="B12" s="181" t="s">
        <v>50</v>
      </c>
      <c r="C12" s="129" t="s">
        <v>47</v>
      </c>
      <c r="D12" s="129" t="s">
        <v>47</v>
      </c>
      <c r="E12" s="130" t="s">
        <v>27</v>
      </c>
      <c r="F12" s="131" t="s">
        <v>47</v>
      </c>
      <c r="G12" s="132" t="s">
        <v>47</v>
      </c>
      <c r="H12" s="133" t="s">
        <v>47</v>
      </c>
      <c r="I12" s="133" t="s">
        <v>47</v>
      </c>
      <c r="J12" s="134" t="s">
        <v>47</v>
      </c>
      <c r="K12" s="135"/>
      <c r="L12" s="133" t="s">
        <v>47</v>
      </c>
      <c r="M12" s="136" t="s">
        <v>47</v>
      </c>
      <c r="N12" s="136" t="s">
        <v>47</v>
      </c>
      <c r="O12" s="136" t="s">
        <v>47</v>
      </c>
      <c r="P12" s="136" t="s">
        <v>47</v>
      </c>
      <c r="Q12" s="137"/>
      <c r="R12" s="138" t="s">
        <v>47</v>
      </c>
      <c r="S12" s="139"/>
      <c r="T12" s="139"/>
      <c r="U12" s="154" t="e">
        <f t="shared" si="6"/>
        <v>#VALUE!</v>
      </c>
      <c r="V12" s="144" t="s">
        <v>47</v>
      </c>
      <c r="W12" s="160" t="s">
        <v>48</v>
      </c>
      <c r="X12" s="140" t="e">
        <f t="shared" si="1"/>
        <v>#VALUE!</v>
      </c>
      <c r="Y12" s="141" t="e">
        <f t="shared" si="2"/>
        <v>#VALUE!</v>
      </c>
      <c r="Z12" s="161" t="e">
        <f t="shared" si="3"/>
        <v>#VALUE!</v>
      </c>
      <c r="AA12" s="142" t="e">
        <f t="shared" si="4"/>
        <v>#VALUE!</v>
      </c>
      <c r="AB12" s="143"/>
      <c r="AC12" s="162"/>
      <c r="AD12" s="90"/>
      <c r="AE12" s="90"/>
      <c r="AF12" s="130" t="s">
        <v>47</v>
      </c>
      <c r="AG12" s="130" t="s">
        <v>47</v>
      </c>
      <c r="AH12" s="130" t="s">
        <v>47</v>
      </c>
      <c r="AI12" s="241" t="s">
        <v>47</v>
      </c>
      <c r="AJ12" s="198" t="s">
        <v>47</v>
      </c>
    </row>
    <row r="13" spans="1:36" ht="14.15" hidden="1" customHeight="1" x14ac:dyDescent="0.35">
      <c r="A13" s="38" t="s">
        <v>51</v>
      </c>
      <c r="B13" s="180" t="s">
        <v>52</v>
      </c>
      <c r="C13" s="39">
        <v>12329100.529100532</v>
      </c>
      <c r="D13" s="39">
        <v>11520634.92063492</v>
      </c>
      <c r="E13" s="40" t="s">
        <v>27</v>
      </c>
      <c r="F13" s="22">
        <v>12200000.000000004</v>
      </c>
      <c r="G13" s="35">
        <v>11400000</v>
      </c>
      <c r="H13" s="237">
        <v>0.94499999999999995</v>
      </c>
      <c r="I13" s="101">
        <v>0.94499999999999995</v>
      </c>
      <c r="J13" s="124">
        <f>94.5%+1%</f>
        <v>0.95499999999999996</v>
      </c>
      <c r="K13" s="96">
        <v>0.95499999999999996</v>
      </c>
      <c r="L13" s="25">
        <v>8.9999999999999993E-3</v>
      </c>
      <c r="M13" s="31">
        <v>8.9999999999999993E-3</v>
      </c>
      <c r="N13" s="220">
        <v>8.9999999999999993E-3</v>
      </c>
      <c r="O13" s="20">
        <v>0</v>
      </c>
      <c r="P13" s="31">
        <v>0</v>
      </c>
      <c r="Q13" s="220">
        <v>0</v>
      </c>
      <c r="R13" s="25">
        <v>0</v>
      </c>
      <c r="S13" s="196">
        <v>0</v>
      </c>
      <c r="T13" s="241">
        <f t="shared" si="5"/>
        <v>12329100.529100532</v>
      </c>
      <c r="U13" s="152">
        <f t="shared" si="6"/>
        <v>11520634.92063492</v>
      </c>
      <c r="V13" s="31">
        <f t="shared" ref="V13:V44" si="9">(T13-C13)/C13</f>
        <v>0</v>
      </c>
      <c r="X13" s="77">
        <f t="shared" si="1"/>
        <v>0</v>
      </c>
      <c r="Y13" s="78">
        <f t="shared" si="2"/>
        <v>0</v>
      </c>
      <c r="Z13" s="97">
        <f t="shared" si="3"/>
        <v>129100.52910052799</v>
      </c>
      <c r="AA13" s="79">
        <f t="shared" si="4"/>
        <v>1.0582010582010488E-2</v>
      </c>
      <c r="AB13" s="90"/>
      <c r="AC13" s="159" t="s">
        <v>282</v>
      </c>
      <c r="AD13" s="90"/>
      <c r="AE13" s="90" t="s">
        <v>53</v>
      </c>
      <c r="AF13" s="230">
        <f t="shared" ref="AF13" si="10">(AI13/F13-1)%</f>
        <v>0</v>
      </c>
      <c r="AG13" s="230">
        <f t="shared" ref="AG13" si="11">AI13-F13</f>
        <v>0</v>
      </c>
      <c r="AI13" s="241">
        <v>12200000.000000004</v>
      </c>
      <c r="AJ13" s="198" t="s">
        <v>339</v>
      </c>
    </row>
    <row r="14" spans="1:36" ht="14.15" hidden="1" customHeight="1" x14ac:dyDescent="0.35">
      <c r="A14" s="38" t="s">
        <v>54</v>
      </c>
      <c r="B14" s="179" t="s">
        <v>55</v>
      </c>
      <c r="C14" s="39">
        <v>18541000</v>
      </c>
      <c r="D14" s="39">
        <v>17400000</v>
      </c>
      <c r="E14" s="40" t="s">
        <v>56</v>
      </c>
      <c r="F14" s="22">
        <v>18541000</v>
      </c>
      <c r="G14" s="35">
        <v>17400000</v>
      </c>
      <c r="H14" s="237">
        <v>0.96799999999999997</v>
      </c>
      <c r="I14" s="25">
        <v>0.96799999999999997</v>
      </c>
      <c r="J14" s="123">
        <v>0.96799999999999997</v>
      </c>
      <c r="K14" s="96">
        <v>0.96799999999999997</v>
      </c>
      <c r="L14" s="25">
        <v>0</v>
      </c>
      <c r="M14" s="31">
        <v>0</v>
      </c>
      <c r="N14" s="220">
        <v>0</v>
      </c>
      <c r="O14" s="20">
        <v>0</v>
      </c>
      <c r="P14" s="31">
        <v>0</v>
      </c>
      <c r="Q14" s="220">
        <v>0</v>
      </c>
      <c r="R14" s="25">
        <v>0</v>
      </c>
      <c r="S14" s="196">
        <v>0</v>
      </c>
      <c r="T14" s="241">
        <f t="shared" si="5"/>
        <v>18541000</v>
      </c>
      <c r="U14" s="152">
        <f t="shared" si="6"/>
        <v>17400000</v>
      </c>
      <c r="V14" s="31">
        <f t="shared" si="9"/>
        <v>0</v>
      </c>
      <c r="X14" s="77">
        <f t="shared" si="1"/>
        <v>0</v>
      </c>
      <c r="Y14" s="78">
        <f t="shared" si="2"/>
        <v>0</v>
      </c>
      <c r="Z14" s="97">
        <f t="shared" si="3"/>
        <v>0</v>
      </c>
      <c r="AA14" s="79">
        <f t="shared" si="4"/>
        <v>0</v>
      </c>
      <c r="AB14" s="90"/>
      <c r="AC14" s="158"/>
      <c r="AD14" s="90"/>
      <c r="AE14" s="90"/>
      <c r="AF14" s="230">
        <f t="shared" ref="AF14:AF77" si="12">(AI14/F14-1)%</f>
        <v>0</v>
      </c>
      <c r="AG14" s="230">
        <f t="shared" ref="AG14:AG77" si="13">AI14-F14</f>
        <v>0</v>
      </c>
      <c r="AI14" s="241">
        <v>18541000</v>
      </c>
      <c r="AJ14" s="198" t="s">
        <v>339</v>
      </c>
    </row>
    <row r="15" spans="1:36" ht="14.15" hidden="1" customHeight="1" x14ac:dyDescent="0.35">
      <c r="A15" s="38" t="s">
        <v>57</v>
      </c>
      <c r="B15" s="180" t="s">
        <v>58</v>
      </c>
      <c r="C15" s="39">
        <v>29600000</v>
      </c>
      <c r="D15" s="39">
        <v>27400000</v>
      </c>
      <c r="E15" s="40" t="s">
        <v>27</v>
      </c>
      <c r="F15" s="22">
        <v>29600000</v>
      </c>
      <c r="G15" s="35">
        <v>27400000</v>
      </c>
      <c r="H15" s="237">
        <v>0.96299999999999997</v>
      </c>
      <c r="I15" s="25">
        <v>0.96299999999999997</v>
      </c>
      <c r="J15" s="123">
        <v>0.96299999999999997</v>
      </c>
      <c r="K15" s="223">
        <v>0.96499999999999997</v>
      </c>
      <c r="L15" s="25">
        <v>0</v>
      </c>
      <c r="M15" s="31">
        <v>0</v>
      </c>
      <c r="N15" s="221">
        <v>0</v>
      </c>
      <c r="O15" s="20">
        <v>0</v>
      </c>
      <c r="P15" s="31">
        <v>0</v>
      </c>
      <c r="Q15" s="220">
        <v>0</v>
      </c>
      <c r="R15" s="25">
        <v>0</v>
      </c>
      <c r="S15" s="196">
        <v>0</v>
      </c>
      <c r="T15" s="241">
        <f t="shared" si="5"/>
        <v>29661474.558670819</v>
      </c>
      <c r="U15" s="152">
        <f t="shared" si="6"/>
        <v>27456905.503634475</v>
      </c>
      <c r="V15" s="31">
        <f t="shared" si="9"/>
        <v>2.0768431983384733E-3</v>
      </c>
      <c r="X15" s="77">
        <f t="shared" si="1"/>
        <v>61474.558670818806</v>
      </c>
      <c r="Y15" s="78">
        <f t="shared" si="2"/>
        <v>2.0768431983384733E-3</v>
      </c>
      <c r="Z15" s="97">
        <f t="shared" si="3"/>
        <v>61474.558670818806</v>
      </c>
      <c r="AA15" s="79">
        <f t="shared" si="4"/>
        <v>2.0768431983384733E-3</v>
      </c>
      <c r="AB15" s="90"/>
      <c r="AC15" s="158"/>
      <c r="AD15" s="90"/>
      <c r="AE15" s="90"/>
      <c r="AF15" s="230">
        <f t="shared" si="12"/>
        <v>0</v>
      </c>
      <c r="AG15" s="230">
        <f t="shared" si="13"/>
        <v>0</v>
      </c>
      <c r="AI15" s="241">
        <v>29600000</v>
      </c>
      <c r="AJ15" s="198" t="s">
        <v>339</v>
      </c>
    </row>
    <row r="16" spans="1:36" ht="14.15" hidden="1" customHeight="1" x14ac:dyDescent="0.35">
      <c r="A16" s="38" t="s">
        <v>59</v>
      </c>
      <c r="B16" s="179" t="s">
        <v>60</v>
      </c>
      <c r="C16" s="39">
        <v>19599999.999999996</v>
      </c>
      <c r="D16" s="39">
        <v>18000000</v>
      </c>
      <c r="E16" s="40" t="s">
        <v>27</v>
      </c>
      <c r="F16" s="22">
        <v>19599999.999999996</v>
      </c>
      <c r="G16" s="35">
        <v>18000000</v>
      </c>
      <c r="H16" s="237">
        <v>0.97599999999999998</v>
      </c>
      <c r="I16" s="25">
        <v>0.97599999999999998</v>
      </c>
      <c r="J16" s="123">
        <v>0.97599999999999998</v>
      </c>
      <c r="K16" s="96">
        <v>0.97599999999999998</v>
      </c>
      <c r="L16" s="25">
        <v>0</v>
      </c>
      <c r="M16" s="31">
        <v>0</v>
      </c>
      <c r="N16" s="221">
        <v>0</v>
      </c>
      <c r="O16" s="20">
        <v>0</v>
      </c>
      <c r="P16" s="31">
        <v>0</v>
      </c>
      <c r="Q16" s="220">
        <v>0</v>
      </c>
      <c r="R16" s="25">
        <v>0</v>
      </c>
      <c r="S16" s="196">
        <v>0</v>
      </c>
      <c r="T16" s="241">
        <f t="shared" si="5"/>
        <v>19599999.999999996</v>
      </c>
      <c r="U16" s="152">
        <f t="shared" si="6"/>
        <v>18000000</v>
      </c>
      <c r="V16" s="31">
        <f t="shared" si="9"/>
        <v>0</v>
      </c>
      <c r="X16" s="77">
        <f t="shared" si="1"/>
        <v>0</v>
      </c>
      <c r="Y16" s="78">
        <f t="shared" si="2"/>
        <v>0</v>
      </c>
      <c r="Z16" s="97">
        <f t="shared" si="3"/>
        <v>0</v>
      </c>
      <c r="AA16" s="79">
        <f t="shared" si="4"/>
        <v>0</v>
      </c>
      <c r="AB16" s="90"/>
      <c r="AC16" s="158"/>
      <c r="AD16" s="90"/>
      <c r="AE16" s="90"/>
      <c r="AF16" s="230">
        <f t="shared" si="12"/>
        <v>0</v>
      </c>
      <c r="AG16" s="230">
        <f t="shared" si="13"/>
        <v>0</v>
      </c>
      <c r="AI16" s="241">
        <v>19599999.999999996</v>
      </c>
      <c r="AJ16" s="198" t="s">
        <v>339</v>
      </c>
    </row>
    <row r="17" spans="1:36" ht="14.15" hidden="1" customHeight="1" x14ac:dyDescent="0.35">
      <c r="A17" s="38" t="s">
        <v>61</v>
      </c>
      <c r="B17" s="179" t="s">
        <v>62</v>
      </c>
      <c r="C17" s="39">
        <v>25756897.611072589</v>
      </c>
      <c r="D17" s="39">
        <v>23932000</v>
      </c>
      <c r="E17" s="40" t="s">
        <v>340</v>
      </c>
      <c r="F17" s="22">
        <v>25539826.512097385</v>
      </c>
      <c r="G17" s="35">
        <v>23728795.436972395</v>
      </c>
      <c r="H17" s="237">
        <v>0.98199999999999998</v>
      </c>
      <c r="I17" s="25">
        <v>0.98199999999999998</v>
      </c>
      <c r="J17" s="123">
        <v>0.98199999999999998</v>
      </c>
      <c r="K17" s="201">
        <v>0.98199999999999998</v>
      </c>
      <c r="L17" s="25">
        <v>0</v>
      </c>
      <c r="M17" s="31">
        <v>0</v>
      </c>
      <c r="N17" s="215">
        <v>0</v>
      </c>
      <c r="O17" s="20">
        <v>0</v>
      </c>
      <c r="P17" s="31">
        <v>0</v>
      </c>
      <c r="Q17" s="203">
        <v>1.8E-3</v>
      </c>
      <c r="R17" s="25">
        <v>0</v>
      </c>
      <c r="S17" s="196">
        <v>0</v>
      </c>
      <c r="T17" s="241">
        <f t="shared" si="5"/>
        <v>25493854.824375607</v>
      </c>
      <c r="U17" s="147">
        <f>G17/I17*K17/(1-L17)*(1-N17)/(1-O17)*(1-Q17)*(1+S17)</f>
        <v>23686083.605185844</v>
      </c>
      <c r="V17" s="31">
        <f t="shared" si="9"/>
        <v>-1.0212518241478842E-2</v>
      </c>
      <c r="W17" s="13" t="s">
        <v>38</v>
      </c>
      <c r="X17" s="77">
        <f t="shared" si="1"/>
        <v>-263042.78669698164</v>
      </c>
      <c r="Y17" s="78">
        <f t="shared" si="2"/>
        <v>-1.0212518241478842E-2</v>
      </c>
      <c r="Z17" s="97">
        <f t="shared" si="3"/>
        <v>-45971.687721777707</v>
      </c>
      <c r="AA17" s="79">
        <f t="shared" si="4"/>
        <v>-1.8000000000000945E-3</v>
      </c>
      <c r="AB17" s="90"/>
      <c r="AC17" s="158"/>
      <c r="AD17" s="90"/>
      <c r="AE17" s="90"/>
      <c r="AF17" s="230">
        <f t="shared" si="12"/>
        <v>8.4993176783085828E-5</v>
      </c>
      <c r="AG17" s="230">
        <f t="shared" si="13"/>
        <v>217071.09897520393</v>
      </c>
      <c r="AH17" t="s">
        <v>377</v>
      </c>
      <c r="AI17" s="241">
        <v>25756897.611072589</v>
      </c>
      <c r="AJ17" s="198" t="s">
        <v>348</v>
      </c>
    </row>
    <row r="18" spans="1:36" ht="14.15" hidden="1" customHeight="1" x14ac:dyDescent="0.35">
      <c r="A18" s="38" t="s">
        <v>61</v>
      </c>
      <c r="B18" s="179" t="s">
        <v>63</v>
      </c>
      <c r="C18" s="39">
        <v>12767652.564214561</v>
      </c>
      <c r="D18" s="39">
        <v>11863000</v>
      </c>
      <c r="E18" s="40" t="s">
        <v>340</v>
      </c>
      <c r="F18" s="22">
        <v>12660050.770889258</v>
      </c>
      <c r="G18" s="35">
        <v>11762325.590654366</v>
      </c>
      <c r="H18" s="237">
        <v>0.98199999999999998</v>
      </c>
      <c r="I18" s="25">
        <v>0.98199999999999998</v>
      </c>
      <c r="J18" s="123">
        <v>0.98199999999999998</v>
      </c>
      <c r="K18" s="201">
        <v>0.98199999999999998</v>
      </c>
      <c r="L18" s="25">
        <v>0</v>
      </c>
      <c r="M18" s="31">
        <v>0</v>
      </c>
      <c r="N18" s="215">
        <v>0</v>
      </c>
      <c r="O18" s="20">
        <v>0</v>
      </c>
      <c r="P18" s="31">
        <v>0</v>
      </c>
      <c r="Q18" s="203">
        <v>1.8E-3</v>
      </c>
      <c r="R18" s="25">
        <v>0</v>
      </c>
      <c r="S18" s="196">
        <v>0</v>
      </c>
      <c r="T18" s="241">
        <f t="shared" si="5"/>
        <v>12637262.679501656</v>
      </c>
      <c r="U18" s="147">
        <f t="shared" si="6"/>
        <v>11741153.404591188</v>
      </c>
      <c r="V18" s="31">
        <f t="shared" si="9"/>
        <v>-1.0212518241478792E-2</v>
      </c>
      <c r="W18" s="13" t="s">
        <v>38</v>
      </c>
      <c r="X18" s="77">
        <f t="shared" si="1"/>
        <v>-130389.88471290469</v>
      </c>
      <c r="Y18" s="78">
        <f t="shared" si="2"/>
        <v>-1.0212518241478792E-2</v>
      </c>
      <c r="Z18" s="97">
        <f t="shared" si="3"/>
        <v>-22788.091387601569</v>
      </c>
      <c r="AA18" s="79">
        <f t="shared" si="4"/>
        <v>-1.8000000000000715E-3</v>
      </c>
      <c r="AB18" s="90"/>
      <c r="AC18" s="158"/>
      <c r="AD18" s="90"/>
      <c r="AE18" s="90"/>
      <c r="AF18" s="230">
        <f t="shared" si="12"/>
        <v>8.4993176783085828E-5</v>
      </c>
      <c r="AG18" s="230">
        <f t="shared" si="13"/>
        <v>107601.79332530312</v>
      </c>
      <c r="AH18" t="s">
        <v>377</v>
      </c>
      <c r="AI18" s="241">
        <v>12767652.564214561</v>
      </c>
      <c r="AJ18" s="198" t="s">
        <v>348</v>
      </c>
    </row>
    <row r="19" spans="1:36" ht="14.15" hidden="1" customHeight="1" x14ac:dyDescent="0.35">
      <c r="A19" s="38" t="s">
        <v>61</v>
      </c>
      <c r="B19" s="179" t="s">
        <v>64</v>
      </c>
      <c r="C19" s="39">
        <v>24975449.824712824</v>
      </c>
      <c r="D19" s="39">
        <v>23206000</v>
      </c>
      <c r="E19" s="40" t="s">
        <v>340</v>
      </c>
      <c r="F19" s="22">
        <v>24764964.523931887</v>
      </c>
      <c r="G19" s="35">
        <v>23008878.972373243</v>
      </c>
      <c r="H19" s="237">
        <v>0.98199999999999998</v>
      </c>
      <c r="I19" s="25">
        <v>0.98199999999999998</v>
      </c>
      <c r="J19" s="123">
        <v>0.98199999999999998</v>
      </c>
      <c r="K19" s="201">
        <v>0.98199999999999998</v>
      </c>
      <c r="L19" s="25">
        <v>0</v>
      </c>
      <c r="M19" s="31">
        <v>0</v>
      </c>
      <c r="N19" s="215">
        <v>0</v>
      </c>
      <c r="O19" s="20">
        <v>0</v>
      </c>
      <c r="P19" s="31">
        <v>0</v>
      </c>
      <c r="Q19" s="203">
        <v>1.8E-3</v>
      </c>
      <c r="R19" s="25">
        <v>0</v>
      </c>
      <c r="S19" s="196">
        <v>0</v>
      </c>
      <c r="T19" s="241">
        <f t="shared" si="5"/>
        <v>24720387.587788809</v>
      </c>
      <c r="U19" s="147">
        <f t="shared" si="6"/>
        <v>22967462.990222972</v>
      </c>
      <c r="V19" s="31">
        <f t="shared" si="9"/>
        <v>-1.0212518241478671E-2</v>
      </c>
      <c r="W19" s="13" t="s">
        <v>38</v>
      </c>
      <c r="X19" s="77">
        <f t="shared" si="1"/>
        <v>-255062.23692401499</v>
      </c>
      <c r="Y19" s="78">
        <f t="shared" si="2"/>
        <v>-1.0212518241478671E-2</v>
      </c>
      <c r="Z19" s="97">
        <f t="shared" si="3"/>
        <v>-44576.93614307791</v>
      </c>
      <c r="AA19" s="79">
        <f t="shared" si="4"/>
        <v>-1.8000000000000208E-3</v>
      </c>
      <c r="AB19" s="90"/>
      <c r="AC19" s="158"/>
      <c r="AD19" s="90"/>
      <c r="AE19" s="90"/>
      <c r="AF19" s="230">
        <f t="shared" si="12"/>
        <v>8.4993176783085828E-5</v>
      </c>
      <c r="AG19" s="230">
        <f t="shared" si="13"/>
        <v>210485.30078093708</v>
      </c>
      <c r="AH19" t="s">
        <v>377</v>
      </c>
      <c r="AI19" s="241">
        <v>24975449.824712824</v>
      </c>
      <c r="AJ19" s="198" t="s">
        <v>348</v>
      </c>
    </row>
    <row r="20" spans="1:36" ht="14.15" hidden="1" customHeight="1" x14ac:dyDescent="0.35">
      <c r="A20" s="38" t="s">
        <v>65</v>
      </c>
      <c r="B20" s="179" t="s">
        <v>66</v>
      </c>
      <c r="C20" s="39">
        <v>24399999.999999993</v>
      </c>
      <c r="D20" s="39">
        <v>22700000</v>
      </c>
      <c r="E20" s="40" t="s">
        <v>340</v>
      </c>
      <c r="F20" s="22">
        <v>24365258.102253318</v>
      </c>
      <c r="G20" s="35">
        <v>22600000</v>
      </c>
      <c r="H20" s="237">
        <v>0.97699999999999998</v>
      </c>
      <c r="I20" s="25">
        <v>0.97699999999999998</v>
      </c>
      <c r="J20" s="123">
        <v>0.97699999999999998</v>
      </c>
      <c r="K20" s="199">
        <v>0.97699999999999998</v>
      </c>
      <c r="L20" s="25">
        <v>0</v>
      </c>
      <c r="M20" s="31">
        <v>0</v>
      </c>
      <c r="N20" s="215">
        <v>0</v>
      </c>
      <c r="O20" s="20">
        <v>0</v>
      </c>
      <c r="P20" s="31">
        <v>0</v>
      </c>
      <c r="Q20" s="204">
        <v>0</v>
      </c>
      <c r="R20" s="25">
        <v>0</v>
      </c>
      <c r="S20" s="196">
        <v>0</v>
      </c>
      <c r="T20" s="241">
        <f t="shared" si="5"/>
        <v>24365258.102253318</v>
      </c>
      <c r="U20" s="147">
        <f t="shared" si="6"/>
        <v>22600000</v>
      </c>
      <c r="V20" s="31">
        <f t="shared" si="9"/>
        <v>-1.4238482683063412E-3</v>
      </c>
      <c r="X20" s="77">
        <f t="shared" si="1"/>
        <v>-34741.897746674716</v>
      </c>
      <c r="Y20" s="78">
        <f t="shared" si="2"/>
        <v>-1.4238482683063412E-3</v>
      </c>
      <c r="Z20" s="97">
        <f t="shared" si="3"/>
        <v>0</v>
      </c>
      <c r="AA20" s="79">
        <f t="shared" si="4"/>
        <v>0</v>
      </c>
      <c r="AB20" s="90"/>
      <c r="AC20" s="158"/>
      <c r="AD20" s="90"/>
      <c r="AE20" s="90"/>
      <c r="AF20" s="230">
        <f t="shared" si="12"/>
        <v>1.4258785029435117E-5</v>
      </c>
      <c r="AG20" s="230">
        <f t="shared" si="13"/>
        <v>34741.897746674716</v>
      </c>
      <c r="AH20" t="s">
        <v>377</v>
      </c>
      <c r="AI20" s="241">
        <v>24399999.999999993</v>
      </c>
      <c r="AJ20" s="198" t="s">
        <v>348</v>
      </c>
    </row>
    <row r="21" spans="1:36" ht="14.15" hidden="1" customHeight="1" x14ac:dyDescent="0.35">
      <c r="A21" s="38" t="s">
        <v>67</v>
      </c>
      <c r="B21" s="179" t="s">
        <v>68</v>
      </c>
      <c r="C21" s="39">
        <v>25148501.154728971</v>
      </c>
      <c r="D21" s="39">
        <v>23629282.098995611</v>
      </c>
      <c r="E21" s="40" t="s">
        <v>340</v>
      </c>
      <c r="F21" s="22">
        <v>24320966.603558995</v>
      </c>
      <c r="G21" s="35">
        <v>22858429.441738389</v>
      </c>
      <c r="H21" s="101">
        <v>0.97</v>
      </c>
      <c r="I21" s="25">
        <v>0.97</v>
      </c>
      <c r="J21" s="125">
        <v>0.98</v>
      </c>
      <c r="K21" s="200">
        <v>0.98</v>
      </c>
      <c r="L21" s="25">
        <v>0</v>
      </c>
      <c r="M21" s="31">
        <v>0</v>
      </c>
      <c r="N21" s="215">
        <v>0</v>
      </c>
      <c r="O21" s="20">
        <v>0</v>
      </c>
      <c r="P21" s="31">
        <v>0</v>
      </c>
      <c r="Q21" s="204">
        <v>0</v>
      </c>
      <c r="R21" s="25">
        <v>2.1999999999999999E-2</v>
      </c>
      <c r="S21" s="202">
        <v>2.1968309734843552E-2</v>
      </c>
      <c r="T21" s="241">
        <f t="shared" si="5"/>
        <v>25111496.895193432</v>
      </c>
      <c r="U21" s="147">
        <f t="shared" si="6"/>
        <v>23601421.329661068</v>
      </c>
      <c r="V21" s="31">
        <f t="shared" si="9"/>
        <v>-1.471430019143767E-3</v>
      </c>
      <c r="W21" s="13" t="s">
        <v>38</v>
      </c>
      <c r="X21" s="77">
        <f t="shared" si="1"/>
        <v>-37004.259535539895</v>
      </c>
      <c r="Y21" s="78">
        <f t="shared" si="2"/>
        <v>-1.471430019143767E-3</v>
      </c>
      <c r="Z21" s="97">
        <f t="shared" si="3"/>
        <v>790530.2916344367</v>
      </c>
      <c r="AA21" s="79">
        <f t="shared" si="4"/>
        <v>3.2504065505305817E-2</v>
      </c>
      <c r="AB21" s="90"/>
      <c r="AC21" s="163" t="s">
        <v>317</v>
      </c>
      <c r="AD21" s="90" t="s">
        <v>283</v>
      </c>
      <c r="AE21" s="90" t="s">
        <v>283</v>
      </c>
      <c r="AF21" s="230">
        <f t="shared" si="12"/>
        <v>1.4425445352395094E-5</v>
      </c>
      <c r="AG21" s="230">
        <f t="shared" si="13"/>
        <v>35084.077465705574</v>
      </c>
      <c r="AH21" s="81" t="s">
        <v>377</v>
      </c>
      <c r="AI21" s="241">
        <v>24356050.6810247</v>
      </c>
      <c r="AJ21" s="198" t="s">
        <v>348</v>
      </c>
    </row>
    <row r="22" spans="1:36" ht="14.15" hidden="1" customHeight="1" x14ac:dyDescent="0.35">
      <c r="A22" s="38" t="s">
        <v>67</v>
      </c>
      <c r="B22" s="179" t="s">
        <v>69</v>
      </c>
      <c r="C22" s="39">
        <v>25821196.927723352</v>
      </c>
      <c r="D22" s="39">
        <v>24261340.371140279</v>
      </c>
      <c r="E22" s="40" t="s">
        <v>340</v>
      </c>
      <c r="F22" s="22">
        <v>24971526.703689463</v>
      </c>
      <c r="G22" s="35">
        <v>23469868.221653763</v>
      </c>
      <c r="H22" s="101">
        <v>0.97</v>
      </c>
      <c r="I22" s="25">
        <v>0.97</v>
      </c>
      <c r="J22" s="125">
        <v>0.98</v>
      </c>
      <c r="K22" s="200">
        <v>0.98</v>
      </c>
      <c r="L22" s="25">
        <v>0</v>
      </c>
      <c r="M22" s="31">
        <v>0</v>
      </c>
      <c r="N22" s="215">
        <v>0</v>
      </c>
      <c r="O22" s="20">
        <v>0</v>
      </c>
      <c r="P22" s="31">
        <v>0</v>
      </c>
      <c r="Q22" s="204">
        <v>0</v>
      </c>
      <c r="R22" s="25">
        <v>2.1999999999999999E-2</v>
      </c>
      <c r="S22" s="202">
        <v>2.1968309734843552E-2</v>
      </c>
      <c r="T22" s="241">
        <f t="shared" si="5"/>
        <v>25783202.843433682</v>
      </c>
      <c r="U22" s="147">
        <f t="shared" si="6"/>
        <v>24232734.355731294</v>
      </c>
      <c r="V22" s="31">
        <f t="shared" si="9"/>
        <v>-1.4714300191435749E-3</v>
      </c>
      <c r="W22" s="13" t="s">
        <v>38</v>
      </c>
      <c r="X22" s="77">
        <f t="shared" si="1"/>
        <v>-37994.084289669991</v>
      </c>
      <c r="Y22" s="78">
        <f t="shared" si="2"/>
        <v>-1.4714300191435749E-3</v>
      </c>
      <c r="Z22" s="97">
        <f t="shared" si="3"/>
        <v>811676.13974421844</v>
      </c>
      <c r="AA22" s="79">
        <f t="shared" si="4"/>
        <v>3.2504065505305921E-2</v>
      </c>
      <c r="AB22" s="90"/>
      <c r="AC22" s="163" t="s">
        <v>317</v>
      </c>
      <c r="AD22" s="90" t="s">
        <v>283</v>
      </c>
      <c r="AE22" s="90" t="s">
        <v>283</v>
      </c>
      <c r="AF22" s="230">
        <f t="shared" si="12"/>
        <v>1.4425445352395094E-5</v>
      </c>
      <c r="AG22" s="230">
        <f t="shared" si="13"/>
        <v>36022.539382994175</v>
      </c>
      <c r="AH22" s="81" t="s">
        <v>377</v>
      </c>
      <c r="AI22" s="241">
        <v>25007549.243072458</v>
      </c>
      <c r="AJ22" s="198" t="s">
        <v>348</v>
      </c>
    </row>
    <row r="23" spans="1:36" ht="14.15" hidden="1" customHeight="1" x14ac:dyDescent="0.35">
      <c r="A23" s="38" t="s">
        <v>67</v>
      </c>
      <c r="B23" s="179" t="s">
        <v>70</v>
      </c>
      <c r="C23" s="39">
        <v>12741128.324654467</v>
      </c>
      <c r="D23" s="39">
        <v>11971437.724675342</v>
      </c>
      <c r="E23" s="40" t="s">
        <v>340</v>
      </c>
      <c r="F23" s="22">
        <v>12321869.783373199</v>
      </c>
      <c r="G23" s="35">
        <v>11580896.254029159</v>
      </c>
      <c r="H23" s="101">
        <v>0.97</v>
      </c>
      <c r="I23" s="25">
        <v>0.97</v>
      </c>
      <c r="J23" s="125">
        <v>0.98</v>
      </c>
      <c r="K23" s="200">
        <v>0.98</v>
      </c>
      <c r="L23" s="25">
        <v>0</v>
      </c>
      <c r="M23" s="31">
        <v>0</v>
      </c>
      <c r="N23" s="215">
        <v>0</v>
      </c>
      <c r="O23" s="20">
        <v>0</v>
      </c>
      <c r="P23" s="31">
        <v>0</v>
      </c>
      <c r="Q23" s="204">
        <v>0</v>
      </c>
      <c r="R23" s="25">
        <v>2.1999999999999999E-2</v>
      </c>
      <c r="S23" s="202">
        <v>2.1968309734843552E-2</v>
      </c>
      <c r="T23" s="241">
        <f t="shared" si="5"/>
        <v>12722380.645959811</v>
      </c>
      <c r="U23" s="147">
        <f t="shared" si="6"/>
        <v>11957322.464480273</v>
      </c>
      <c r="V23" s="31">
        <f t="shared" si="9"/>
        <v>-1.4714300191435005E-3</v>
      </c>
      <c r="W23" s="13" t="s">
        <v>38</v>
      </c>
      <c r="X23" s="77">
        <f t="shared" si="1"/>
        <v>-18747.678694656119</v>
      </c>
      <c r="Y23" s="78">
        <f t="shared" si="2"/>
        <v>-1.4714300191435005E-3</v>
      </c>
      <c r="Z23" s="97">
        <f t="shared" si="3"/>
        <v>400510.86258661188</v>
      </c>
      <c r="AA23" s="79">
        <f t="shared" si="4"/>
        <v>3.25040655053059E-2</v>
      </c>
      <c r="AB23" s="90"/>
      <c r="AC23" s="163" t="s">
        <v>317</v>
      </c>
      <c r="AD23" s="90" t="s">
        <v>283</v>
      </c>
      <c r="AE23" s="90" t="s">
        <v>283</v>
      </c>
      <c r="AF23" s="230">
        <f t="shared" si="12"/>
        <v>1.4425445352395094E-5</v>
      </c>
      <c r="AG23" s="230">
        <f t="shared" si="13"/>
        <v>17774.845919936895</v>
      </c>
      <c r="AH23" s="81" t="s">
        <v>377</v>
      </c>
      <c r="AI23" s="241">
        <v>12339644.629293136</v>
      </c>
      <c r="AJ23" s="198" t="s">
        <v>348</v>
      </c>
    </row>
    <row r="24" spans="1:36" ht="14.15" hidden="1" customHeight="1" x14ac:dyDescent="0.35">
      <c r="A24" s="38" t="s">
        <v>67</v>
      </c>
      <c r="B24" s="179" t="s">
        <v>71</v>
      </c>
      <c r="C24" s="39">
        <v>32005268.438254043</v>
      </c>
      <c r="D24" s="39">
        <v>30071832.588693924</v>
      </c>
      <c r="E24" s="40" t="s">
        <v>340</v>
      </c>
      <c r="F24" s="22">
        <v>30952105.655741859</v>
      </c>
      <c r="G24" s="35">
        <v>29090806.082578685</v>
      </c>
      <c r="H24" s="101">
        <v>0.97</v>
      </c>
      <c r="I24" s="25">
        <v>0.97</v>
      </c>
      <c r="J24" s="125">
        <v>0.98</v>
      </c>
      <c r="K24" s="200">
        <v>0.98</v>
      </c>
      <c r="L24" s="25">
        <v>0</v>
      </c>
      <c r="M24" s="31">
        <v>0</v>
      </c>
      <c r="N24" s="215">
        <v>0</v>
      </c>
      <c r="O24" s="20">
        <v>0</v>
      </c>
      <c r="P24" s="31">
        <v>0</v>
      </c>
      <c r="Q24" s="204">
        <v>0</v>
      </c>
      <c r="R24" s="25">
        <v>2.1999999999999999E-2</v>
      </c>
      <c r="S24" s="202">
        <v>2.1968309734843549E-2</v>
      </c>
      <c r="T24" s="241">
        <f t="shared" si="5"/>
        <v>31958174.925503239</v>
      </c>
      <c r="U24" s="147">
        <f t="shared" si="6"/>
        <v>30036375.549088974</v>
      </c>
      <c r="V24" s="31">
        <f t="shared" si="9"/>
        <v>-1.4714300191438568E-3</v>
      </c>
      <c r="W24" s="13" t="s">
        <v>38</v>
      </c>
      <c r="X24" s="77">
        <f t="shared" si="1"/>
        <v>-47093.512750804424</v>
      </c>
      <c r="Y24" s="78">
        <f t="shared" si="2"/>
        <v>-1.4714300191438568E-3</v>
      </c>
      <c r="Z24" s="97">
        <f t="shared" si="3"/>
        <v>1006069.2697613798</v>
      </c>
      <c r="AA24" s="79">
        <f t="shared" si="4"/>
        <v>3.250406550530581E-2</v>
      </c>
      <c r="AB24" s="90"/>
      <c r="AC24" s="163" t="s">
        <v>317</v>
      </c>
      <c r="AD24" s="90" t="s">
        <v>283</v>
      </c>
      <c r="AE24" s="90" t="s">
        <v>283</v>
      </c>
      <c r="AF24" s="230">
        <f t="shared" si="12"/>
        <v>1.4425445352395094E-5</v>
      </c>
      <c r="AG24" s="230">
        <f t="shared" si="13"/>
        <v>44649.790867846459</v>
      </c>
      <c r="AH24" s="81" t="s">
        <v>377</v>
      </c>
      <c r="AI24" s="241">
        <v>30996755.446609706</v>
      </c>
      <c r="AJ24" s="198" t="s">
        <v>348</v>
      </c>
    </row>
    <row r="25" spans="1:36" ht="14.15" hidden="1" customHeight="1" x14ac:dyDescent="0.35">
      <c r="A25" s="38" t="s">
        <v>72</v>
      </c>
      <c r="B25" s="179" t="s">
        <v>73</v>
      </c>
      <c r="C25" s="39">
        <v>19634800</v>
      </c>
      <c r="D25" s="39">
        <v>18195600</v>
      </c>
      <c r="E25" s="40" t="s">
        <v>340</v>
      </c>
      <c r="F25" s="22">
        <v>19100000</v>
      </c>
      <c r="G25" s="35">
        <v>17700000</v>
      </c>
      <c r="H25" s="237">
        <v>0.98499999999999999</v>
      </c>
      <c r="I25" s="25">
        <v>0.98499999999999999</v>
      </c>
      <c r="J25" s="123">
        <v>0.98499999999999999</v>
      </c>
      <c r="K25" s="96">
        <v>0.98499999999999999</v>
      </c>
      <c r="L25" s="25">
        <v>0</v>
      </c>
      <c r="M25" s="31">
        <v>0</v>
      </c>
      <c r="N25" s="221">
        <v>0</v>
      </c>
      <c r="O25" s="20">
        <v>2E-3</v>
      </c>
      <c r="P25" s="31">
        <v>2E-3</v>
      </c>
      <c r="Q25" s="232">
        <v>2E-3</v>
      </c>
      <c r="R25" s="25">
        <v>2.8000000000000001E-2</v>
      </c>
      <c r="S25" s="68">
        <v>2.8000000000000001E-2</v>
      </c>
      <c r="T25" s="241">
        <f t="shared" si="5"/>
        <v>19634800</v>
      </c>
      <c r="U25" s="147">
        <f t="shared" si="6"/>
        <v>18195600</v>
      </c>
      <c r="V25" s="31">
        <f t="shared" si="9"/>
        <v>0</v>
      </c>
      <c r="X25" s="77">
        <f t="shared" si="1"/>
        <v>0</v>
      </c>
      <c r="Y25" s="78">
        <f t="shared" si="2"/>
        <v>0</v>
      </c>
      <c r="Z25" s="97">
        <f t="shared" si="3"/>
        <v>534800</v>
      </c>
      <c r="AA25" s="79">
        <f t="shared" si="4"/>
        <v>2.8000000000000001E-2</v>
      </c>
      <c r="AB25" s="90"/>
      <c r="AC25" s="158"/>
      <c r="AD25" s="90" t="s">
        <v>75</v>
      </c>
      <c r="AE25" s="90" t="s">
        <v>75</v>
      </c>
      <c r="AF25" s="230">
        <f t="shared" si="12"/>
        <v>0</v>
      </c>
      <c r="AG25" s="230">
        <f t="shared" si="13"/>
        <v>0</v>
      </c>
      <c r="AI25" s="241">
        <v>19100000</v>
      </c>
      <c r="AJ25" s="198" t="s">
        <v>385</v>
      </c>
    </row>
    <row r="26" spans="1:36" ht="14.15" hidden="1" customHeight="1" x14ac:dyDescent="0.35">
      <c r="A26" s="38" t="s">
        <v>76</v>
      </c>
      <c r="B26" s="179" t="s">
        <v>77</v>
      </c>
      <c r="C26" s="39">
        <v>38214149.326574512</v>
      </c>
      <c r="D26" s="39">
        <v>35471208.755009621</v>
      </c>
      <c r="E26" s="40" t="s">
        <v>340</v>
      </c>
      <c r="F26" s="22">
        <v>35867161.945746318</v>
      </c>
      <c r="G26" s="35">
        <v>33295850.471637521</v>
      </c>
      <c r="H26" s="237">
        <v>0.92</v>
      </c>
      <c r="I26" s="101">
        <v>0.92</v>
      </c>
      <c r="J26" s="124">
        <f>92%+2.25%</f>
        <v>0.9425</v>
      </c>
      <c r="K26" s="224">
        <v>0.95499999999999996</v>
      </c>
      <c r="L26" s="25">
        <f>100%-98.5293510292217%</f>
        <v>1.4706489707782988E-2</v>
      </c>
      <c r="M26" s="31">
        <v>1E-3</v>
      </c>
      <c r="N26" s="216">
        <v>2.0999999999999999E-3</v>
      </c>
      <c r="O26" s="20">
        <v>0</v>
      </c>
      <c r="P26" s="46">
        <v>1.26E-2</v>
      </c>
      <c r="Q26" s="215">
        <v>1.26E-2</v>
      </c>
      <c r="R26" s="25">
        <f>2.2%+1.2%</f>
        <v>3.4000000000000002E-2</v>
      </c>
      <c r="S26" s="202">
        <f>3.4%*F26/AI26</f>
        <v>3.3817521508000839E-2</v>
      </c>
      <c r="T26" s="241">
        <f t="shared" si="5"/>
        <v>38492043.651489906</v>
      </c>
      <c r="U26" s="147">
        <f t="shared" si="6"/>
        <v>35732554.80058264</v>
      </c>
      <c r="V26" s="31">
        <f t="shared" si="9"/>
        <v>7.2720269798638073E-3</v>
      </c>
      <c r="W26" s="13" t="s">
        <v>78</v>
      </c>
      <c r="X26" s="77">
        <f t="shared" si="1"/>
        <v>277894.32491539419</v>
      </c>
      <c r="Y26" s="78">
        <f t="shared" si="2"/>
        <v>7.2720269798638073E-3</v>
      </c>
      <c r="Z26" s="97">
        <f t="shared" si="3"/>
        <v>2624881.7057435885</v>
      </c>
      <c r="AA26" s="79">
        <f t="shared" si="4"/>
        <v>7.318342359270183E-2</v>
      </c>
      <c r="AB26" s="90"/>
      <c r="AC26" s="159" t="s">
        <v>285</v>
      </c>
      <c r="AD26" s="90" t="s">
        <v>79</v>
      </c>
      <c r="AE26" s="90" t="s">
        <v>79</v>
      </c>
      <c r="AF26" s="230">
        <f t="shared" si="12"/>
        <v>5.3959747451033382E-5</v>
      </c>
      <c r="AG26" s="230">
        <f t="shared" si="13"/>
        <v>193538.30003777891</v>
      </c>
      <c r="AH26" s="81" t="s">
        <v>377</v>
      </c>
      <c r="AI26" s="241">
        <v>36060700.245784096</v>
      </c>
      <c r="AJ26" s="198" t="s">
        <v>348</v>
      </c>
    </row>
    <row r="27" spans="1:36" ht="14.15" hidden="1" customHeight="1" x14ac:dyDescent="0.35">
      <c r="A27" s="38" t="s">
        <v>76</v>
      </c>
      <c r="B27" s="179" t="s">
        <v>80</v>
      </c>
      <c r="C27" s="39">
        <v>9773284.0633741841</v>
      </c>
      <c r="D27" s="39">
        <v>9071775.9087437391</v>
      </c>
      <c r="E27" s="40" t="s">
        <v>340</v>
      </c>
      <c r="F27" s="22">
        <v>9173041.096561959</v>
      </c>
      <c r="G27" s="35">
        <v>8515427.1526502762</v>
      </c>
      <c r="H27" s="237">
        <v>0.92</v>
      </c>
      <c r="I27" s="101">
        <v>0.92</v>
      </c>
      <c r="J27" s="124">
        <f>92%+2.25%</f>
        <v>0.9425</v>
      </c>
      <c r="K27" s="224">
        <v>0.95499999999999996</v>
      </c>
      <c r="L27" s="25">
        <f>100%-98.5293510292217%</f>
        <v>1.4706489707782988E-2</v>
      </c>
      <c r="M27" s="31">
        <v>1E-3</v>
      </c>
      <c r="N27" s="216">
        <v>2.0999999999999999E-3</v>
      </c>
      <c r="O27" s="20">
        <v>0</v>
      </c>
      <c r="P27" s="46">
        <v>1.26E-2</v>
      </c>
      <c r="Q27" s="215">
        <v>1.26E-2</v>
      </c>
      <c r="R27" s="25">
        <f>2.2%+1.2%</f>
        <v>3.4000000000000002E-2</v>
      </c>
      <c r="S27" s="202">
        <f>3.4%*F27/AI27</f>
        <v>3.3817521508000832E-2</v>
      </c>
      <c r="T27" s="241">
        <f t="shared" si="5"/>
        <v>9844355.6487649176</v>
      </c>
      <c r="U27" s="147">
        <f t="shared" si="6"/>
        <v>9138615.2650354784</v>
      </c>
      <c r="V27" s="31">
        <f t="shared" si="9"/>
        <v>7.2720269798641664E-3</v>
      </c>
      <c r="W27" s="13" t="s">
        <v>78</v>
      </c>
      <c r="X27" s="77">
        <f t="shared" si="1"/>
        <v>71071.585390733555</v>
      </c>
      <c r="Y27" s="78">
        <f t="shared" si="2"/>
        <v>7.2720269798641664E-3</v>
      </c>
      <c r="Z27" s="97">
        <f t="shared" si="3"/>
        <v>671314.55220295861</v>
      </c>
      <c r="AA27" s="79">
        <f t="shared" si="4"/>
        <v>7.3183423592702121E-2</v>
      </c>
      <c r="AB27" s="90"/>
      <c r="AC27" s="159" t="s">
        <v>285</v>
      </c>
      <c r="AD27" s="90" t="s">
        <v>79</v>
      </c>
      <c r="AE27" s="90" t="s">
        <v>79</v>
      </c>
      <c r="AF27" s="230">
        <f t="shared" si="12"/>
        <v>5.3959747451035598E-5</v>
      </c>
      <c r="AG27" s="230">
        <f t="shared" si="13"/>
        <v>49497.498092845082</v>
      </c>
      <c r="AH27" s="81" t="s">
        <v>377</v>
      </c>
      <c r="AI27" s="241">
        <v>9222538.5946548041</v>
      </c>
      <c r="AJ27" s="198" t="s">
        <v>348</v>
      </c>
    </row>
    <row r="28" spans="1:36" ht="14.15" hidden="1" customHeight="1" x14ac:dyDescent="0.35">
      <c r="A28" s="38" t="s">
        <v>76</v>
      </c>
      <c r="B28" s="179" t="s">
        <v>81</v>
      </c>
      <c r="C28" s="39">
        <v>7774561.0016464675</v>
      </c>
      <c r="D28" s="39">
        <v>7216517.4713488426</v>
      </c>
      <c r="E28" s="40" t="s">
        <v>340</v>
      </c>
      <c r="F28" s="22">
        <v>7297073.0322975274</v>
      </c>
      <c r="G28" s="35">
        <v>6773946.9582652971</v>
      </c>
      <c r="H28" s="237">
        <v>0.92</v>
      </c>
      <c r="I28" s="101">
        <v>0.92</v>
      </c>
      <c r="J28" s="124">
        <f>92%+2.25%</f>
        <v>0.9425</v>
      </c>
      <c r="K28" s="224">
        <v>0.95499999999999996</v>
      </c>
      <c r="L28" s="25">
        <f>100%-98.5293510292217%</f>
        <v>1.4706489707782988E-2</v>
      </c>
      <c r="M28" s="31">
        <v>1E-3</v>
      </c>
      <c r="N28" s="216">
        <v>2.0999999999999999E-3</v>
      </c>
      <c r="O28" s="20">
        <v>0</v>
      </c>
      <c r="P28" s="46">
        <v>1.26E-2</v>
      </c>
      <c r="Q28" s="215">
        <v>1.26E-2</v>
      </c>
      <c r="R28" s="25">
        <f>2.2%+1.2%</f>
        <v>3.4000000000000002E-2</v>
      </c>
      <c r="S28" s="202">
        <f>3.4%*F28/AI28</f>
        <v>3.3817521508000839E-2</v>
      </c>
      <c r="T28" s="241">
        <f t="shared" si="5"/>
        <v>7831097.81900704</v>
      </c>
      <c r="U28" s="147">
        <f t="shared" si="6"/>
        <v>7269687.5879065227</v>
      </c>
      <c r="V28" s="31">
        <f t="shared" si="9"/>
        <v>7.2720269798641187E-3</v>
      </c>
      <c r="W28" s="13" t="s">
        <v>78</v>
      </c>
      <c r="X28" s="77">
        <f t="shared" si="1"/>
        <v>56536.817360572517</v>
      </c>
      <c r="Y28" s="78">
        <f t="shared" si="2"/>
        <v>7.2720269798641187E-3</v>
      </c>
      <c r="Z28" s="97">
        <f t="shared" si="3"/>
        <v>534024.78670951258</v>
      </c>
      <c r="AA28" s="79">
        <f t="shared" si="4"/>
        <v>7.3183423592702024E-2</v>
      </c>
      <c r="AB28" s="90"/>
      <c r="AC28" s="159" t="s">
        <v>285</v>
      </c>
      <c r="AD28" s="90" t="s">
        <v>79</v>
      </c>
      <c r="AE28" s="90" t="s">
        <v>79</v>
      </c>
      <c r="AF28" s="230">
        <f t="shared" si="12"/>
        <v>5.3959747451033382E-5</v>
      </c>
      <c r="AG28" s="230">
        <f t="shared" si="13"/>
        <v>39374.821795452386</v>
      </c>
      <c r="AH28" s="81" t="s">
        <v>377</v>
      </c>
      <c r="AI28" s="241">
        <v>7336447.8540929798</v>
      </c>
      <c r="AJ28" s="198" t="s">
        <v>348</v>
      </c>
    </row>
    <row r="29" spans="1:36" ht="14.15" hidden="1" customHeight="1" x14ac:dyDescent="0.35">
      <c r="A29" s="38" t="s">
        <v>82</v>
      </c>
      <c r="B29" s="179" t="s">
        <v>83</v>
      </c>
      <c r="C29" s="39">
        <v>9198678.5224835165</v>
      </c>
      <c r="D29" s="39">
        <v>8538414.4849806223</v>
      </c>
      <c r="E29" s="40" t="s">
        <v>340</v>
      </c>
      <c r="F29" s="22">
        <v>8633725.9383486453</v>
      </c>
      <c r="G29" s="35">
        <v>8014775.4174469095</v>
      </c>
      <c r="H29" s="237">
        <v>0.92</v>
      </c>
      <c r="I29" s="101">
        <v>0.92</v>
      </c>
      <c r="J29" s="124">
        <f>92%+2.25%</f>
        <v>0.9425</v>
      </c>
      <c r="K29" s="224">
        <v>0.95499999999999996</v>
      </c>
      <c r="L29" s="25">
        <f>100%-98.5293510292217%</f>
        <v>1.4706489707782988E-2</v>
      </c>
      <c r="M29" s="31">
        <v>1E-3</v>
      </c>
      <c r="N29" s="216">
        <v>2.0999999999999999E-3</v>
      </c>
      <c r="O29" s="20">
        <v>0</v>
      </c>
      <c r="P29" s="46">
        <v>1.26E-2</v>
      </c>
      <c r="Q29" s="215">
        <v>1.26E-2</v>
      </c>
      <c r="R29" s="25">
        <f>2.2%+1.2%</f>
        <v>3.4000000000000002E-2</v>
      </c>
      <c r="S29" s="202">
        <f>3.4%*F29/AI29</f>
        <v>3.3817521508000839E-2</v>
      </c>
      <c r="T29" s="241">
        <f t="shared" si="5"/>
        <v>9265571.5608781129</v>
      </c>
      <c r="U29" s="147">
        <f t="shared" si="6"/>
        <v>8601324.1218223013</v>
      </c>
      <c r="V29" s="31">
        <f t="shared" si="9"/>
        <v>7.2720269798640848E-3</v>
      </c>
      <c r="W29" s="13" t="s">
        <v>78</v>
      </c>
      <c r="X29" s="77">
        <f t="shared" si="1"/>
        <v>66893.038394596428</v>
      </c>
      <c r="Y29" s="78">
        <f t="shared" si="2"/>
        <v>7.2720269798640848E-3</v>
      </c>
      <c r="Z29" s="97">
        <f t="shared" si="3"/>
        <v>631845.62252946757</v>
      </c>
      <c r="AA29" s="79">
        <f t="shared" si="4"/>
        <v>7.318342359270201E-2</v>
      </c>
      <c r="AB29" s="90"/>
      <c r="AC29" s="159" t="s">
        <v>285</v>
      </c>
      <c r="AD29" s="90" t="s">
        <v>79</v>
      </c>
      <c r="AE29" s="90" t="s">
        <v>79</v>
      </c>
      <c r="AF29" s="230">
        <f t="shared" si="12"/>
        <v>5.3959747451033382E-5</v>
      </c>
      <c r="AG29" s="230">
        <f t="shared" si="13"/>
        <v>46587.367119472474</v>
      </c>
      <c r="AH29" s="81" t="s">
        <v>377</v>
      </c>
      <c r="AI29" s="241">
        <v>8680313.3054681178</v>
      </c>
      <c r="AJ29" s="198" t="s">
        <v>348</v>
      </c>
    </row>
    <row r="30" spans="1:36" ht="14.15" hidden="1" customHeight="1" x14ac:dyDescent="0.35">
      <c r="A30" s="38" t="s">
        <v>84</v>
      </c>
      <c r="B30" s="179" t="s">
        <v>85</v>
      </c>
      <c r="C30" s="39">
        <v>26564501.71736687</v>
      </c>
      <c r="D30" s="39">
        <v>24502192.896425262</v>
      </c>
      <c r="E30" s="40" t="s">
        <v>74</v>
      </c>
      <c r="F30" s="22">
        <v>26379838.438428525</v>
      </c>
      <c r="G30" s="35">
        <v>24331865.768532041</v>
      </c>
      <c r="H30" s="237">
        <v>0.97199999999999998</v>
      </c>
      <c r="I30" s="25">
        <v>0.97199999999999998</v>
      </c>
      <c r="J30" s="125">
        <v>0.97499999999999998</v>
      </c>
      <c r="K30" s="96">
        <v>0.97499999999999998</v>
      </c>
      <c r="L30" s="25">
        <v>3.0000000000000001E-3</v>
      </c>
      <c r="M30" s="31">
        <v>0.01</v>
      </c>
      <c r="N30" s="220">
        <v>0.01</v>
      </c>
      <c r="O30" s="20">
        <v>0</v>
      </c>
      <c r="P30" s="31">
        <v>0</v>
      </c>
      <c r="Q30" s="220">
        <v>0</v>
      </c>
      <c r="R30" s="25">
        <f>0.5%+0.3%+0.3%</f>
        <v>1.0999999999999999E-2</v>
      </c>
      <c r="S30" s="68">
        <f>0.5%+0.3%+0.3%</f>
        <v>1.0999999999999999E-2</v>
      </c>
      <c r="T30" s="241">
        <f t="shared" si="5"/>
        <v>26564501.71736687</v>
      </c>
      <c r="U30" s="147">
        <f t="shared" si="6"/>
        <v>24502192.896425262</v>
      </c>
      <c r="V30" s="31">
        <f t="shared" si="9"/>
        <v>0</v>
      </c>
      <c r="W30" s="13" t="s">
        <v>38</v>
      </c>
      <c r="X30" s="77">
        <f t="shared" si="1"/>
        <v>0</v>
      </c>
      <c r="Y30" s="78">
        <f t="shared" si="2"/>
        <v>0</v>
      </c>
      <c r="Z30" s="97">
        <f t="shared" si="3"/>
        <v>184663.27893834561</v>
      </c>
      <c r="AA30" s="79">
        <f t="shared" si="4"/>
        <v>7.0001671681711106E-3</v>
      </c>
      <c r="AB30" s="90"/>
      <c r="AC30" s="163" t="s">
        <v>318</v>
      </c>
      <c r="AD30" s="90" t="s">
        <v>86</v>
      </c>
      <c r="AE30" s="90" t="s">
        <v>86</v>
      </c>
      <c r="AF30" s="230">
        <f t="shared" si="12"/>
        <v>0</v>
      </c>
      <c r="AG30" s="230">
        <f t="shared" si="13"/>
        <v>0</v>
      </c>
      <c r="AI30" s="241">
        <v>26379838.438428525</v>
      </c>
      <c r="AJ30" s="198" t="s">
        <v>385</v>
      </c>
    </row>
    <row r="31" spans="1:36" ht="14.15" hidden="1" customHeight="1" x14ac:dyDescent="0.35">
      <c r="A31" s="38" t="s">
        <v>84</v>
      </c>
      <c r="B31" s="179" t="s">
        <v>87</v>
      </c>
      <c r="C31" s="39">
        <v>27914207.326431185</v>
      </c>
      <c r="D31" s="39">
        <v>25747115.44526647</v>
      </c>
      <c r="E31" s="40" t="s">
        <v>74</v>
      </c>
      <c r="F31" s="22">
        <v>27720161.561571475</v>
      </c>
      <c r="G31" s="35">
        <v>25568134.231467959</v>
      </c>
      <c r="H31" s="237">
        <v>0.97199999999999998</v>
      </c>
      <c r="I31" s="25">
        <v>0.97199999999999998</v>
      </c>
      <c r="J31" s="125">
        <v>0.97499999999999998</v>
      </c>
      <c r="K31" s="96">
        <v>0.97499999999999998</v>
      </c>
      <c r="L31" s="25">
        <v>3.0000000000000001E-3</v>
      </c>
      <c r="M31" s="31">
        <v>0.01</v>
      </c>
      <c r="N31" s="221">
        <v>0.01</v>
      </c>
      <c r="O31" s="20">
        <v>0</v>
      </c>
      <c r="P31" s="31">
        <v>0</v>
      </c>
      <c r="Q31" s="220">
        <v>0</v>
      </c>
      <c r="R31" s="25">
        <f>0.5%+0.3%+0.3%</f>
        <v>1.0999999999999999E-2</v>
      </c>
      <c r="S31" s="68">
        <f>0.5%+0.3%+0.3%</f>
        <v>1.0999999999999999E-2</v>
      </c>
      <c r="T31" s="241">
        <f t="shared" si="5"/>
        <v>27914207.326431185</v>
      </c>
      <c r="U31" s="147">
        <f t="shared" si="6"/>
        <v>25747115.44526647</v>
      </c>
      <c r="V31" s="31">
        <f t="shared" si="9"/>
        <v>0</v>
      </c>
      <c r="W31" s="13" t="s">
        <v>38</v>
      </c>
      <c r="X31" s="77">
        <f t="shared" si="1"/>
        <v>0</v>
      </c>
      <c r="Y31" s="78">
        <f t="shared" si="2"/>
        <v>0</v>
      </c>
      <c r="Z31" s="97">
        <f t="shared" si="3"/>
        <v>194045.76485970989</v>
      </c>
      <c r="AA31" s="79">
        <f t="shared" si="4"/>
        <v>7.0001671681710542E-3</v>
      </c>
      <c r="AB31" s="90"/>
      <c r="AC31" s="163" t="s">
        <v>318</v>
      </c>
      <c r="AD31" s="90" t="s">
        <v>86</v>
      </c>
      <c r="AE31" s="90" t="s">
        <v>86</v>
      </c>
      <c r="AF31" s="230">
        <f t="shared" si="12"/>
        <v>0</v>
      </c>
      <c r="AG31" s="230">
        <f t="shared" si="13"/>
        <v>0</v>
      </c>
      <c r="AI31" s="241">
        <v>27720161.561571475</v>
      </c>
      <c r="AJ31" s="198" t="s">
        <v>385</v>
      </c>
    </row>
    <row r="32" spans="1:36" ht="14.15" hidden="1" customHeight="1" x14ac:dyDescent="0.35">
      <c r="A32" s="38" t="s">
        <v>88</v>
      </c>
      <c r="B32" s="179" t="s">
        <v>89</v>
      </c>
      <c r="C32" s="39">
        <v>26849770.405879464</v>
      </c>
      <c r="D32" s="39">
        <v>24935624.924150098</v>
      </c>
      <c r="E32" s="40" t="s">
        <v>90</v>
      </c>
      <c r="F32" s="22">
        <v>26687094.444374409</v>
      </c>
      <c r="G32" s="35">
        <v>24784546.285526905</v>
      </c>
      <c r="H32" s="237">
        <v>0.97199999999999998</v>
      </c>
      <c r="I32" s="25">
        <v>0.97199999999999998</v>
      </c>
      <c r="J32" s="125">
        <v>0.97499999999999998</v>
      </c>
      <c r="K32" s="96">
        <v>0.97499999999999998</v>
      </c>
      <c r="L32" s="25">
        <v>0</v>
      </c>
      <c r="M32" s="31">
        <v>0</v>
      </c>
      <c r="N32" s="221">
        <v>0</v>
      </c>
      <c r="O32" s="20">
        <v>0</v>
      </c>
      <c r="P32" s="31">
        <v>0</v>
      </c>
      <c r="Q32" s="220">
        <v>0</v>
      </c>
      <c r="R32" s="25">
        <v>3.0000000000000001E-3</v>
      </c>
      <c r="S32" s="68">
        <v>3.0000000000000001E-3</v>
      </c>
      <c r="T32" s="241">
        <f t="shared" si="5"/>
        <v>26849770.405879464</v>
      </c>
      <c r="U32" s="147">
        <f t="shared" si="6"/>
        <v>24935624.924150098</v>
      </c>
      <c r="V32" s="31">
        <f t="shared" si="9"/>
        <v>0</v>
      </c>
      <c r="W32" s="13" t="s">
        <v>38</v>
      </c>
      <c r="X32" s="77">
        <f t="shared" si="1"/>
        <v>0</v>
      </c>
      <c r="Y32" s="78">
        <f t="shared" si="2"/>
        <v>0</v>
      </c>
      <c r="Z32" s="97">
        <f t="shared" si="3"/>
        <v>162675.96150505543</v>
      </c>
      <c r="AA32" s="79">
        <f t="shared" si="4"/>
        <v>6.0956790123455054E-3</v>
      </c>
      <c r="AB32" s="90"/>
      <c r="AC32" s="163" t="s">
        <v>318</v>
      </c>
      <c r="AD32" s="90" t="s">
        <v>91</v>
      </c>
      <c r="AE32" s="90" t="s">
        <v>91</v>
      </c>
      <c r="AF32" s="230">
        <f t="shared" si="12"/>
        <v>0</v>
      </c>
      <c r="AG32" s="230">
        <f t="shared" si="13"/>
        <v>0</v>
      </c>
      <c r="AI32" s="241">
        <v>26687094.444374409</v>
      </c>
      <c r="AJ32" s="198" t="s">
        <v>385</v>
      </c>
    </row>
    <row r="33" spans="1:36" ht="14.15" hidden="1" customHeight="1" x14ac:dyDescent="0.35">
      <c r="A33" s="38" t="s">
        <v>88</v>
      </c>
      <c r="B33" s="179" t="s">
        <v>92</v>
      </c>
      <c r="C33" s="39">
        <v>25366595.334861275</v>
      </c>
      <c r="D33" s="39">
        <v>23558186.804244958</v>
      </c>
      <c r="E33" s="40" t="s">
        <v>90</v>
      </c>
      <c r="F33" s="22">
        <v>25212905.555625595</v>
      </c>
      <c r="G33" s="35">
        <v>23415453.714473095</v>
      </c>
      <c r="H33" s="237">
        <v>0.97199999999999998</v>
      </c>
      <c r="I33" s="25">
        <v>0.97199999999999998</v>
      </c>
      <c r="J33" s="125">
        <v>0.97499999999999998</v>
      </c>
      <c r="K33" s="96">
        <v>0.97499999999999998</v>
      </c>
      <c r="L33" s="25">
        <v>0</v>
      </c>
      <c r="M33" s="31">
        <v>0</v>
      </c>
      <c r="N33" s="221">
        <v>0</v>
      </c>
      <c r="O33" s="20">
        <v>0</v>
      </c>
      <c r="P33" s="31">
        <v>0</v>
      </c>
      <c r="Q33" s="220">
        <v>0</v>
      </c>
      <c r="R33" s="25">
        <v>3.0000000000000001E-3</v>
      </c>
      <c r="S33" s="68">
        <v>3.0000000000000001E-3</v>
      </c>
      <c r="T33" s="241">
        <f t="shared" si="5"/>
        <v>25366595.334861275</v>
      </c>
      <c r="U33" s="147">
        <f t="shared" si="6"/>
        <v>23558186.804244958</v>
      </c>
      <c r="V33" s="31">
        <f t="shared" si="9"/>
        <v>0</v>
      </c>
      <c r="W33" s="13" t="s">
        <v>38</v>
      </c>
      <c r="X33" s="77">
        <f t="shared" si="1"/>
        <v>0</v>
      </c>
      <c r="Y33" s="78">
        <f t="shared" si="2"/>
        <v>0</v>
      </c>
      <c r="Z33" s="97">
        <f t="shared" si="3"/>
        <v>153689.77923567966</v>
      </c>
      <c r="AA33" s="79">
        <f t="shared" si="4"/>
        <v>6.0956790123456372E-3</v>
      </c>
      <c r="AB33" s="90"/>
      <c r="AC33" s="163" t="s">
        <v>318</v>
      </c>
      <c r="AD33" s="90" t="s">
        <v>91</v>
      </c>
      <c r="AE33" s="90" t="s">
        <v>91</v>
      </c>
      <c r="AF33" s="230">
        <f t="shared" si="12"/>
        <v>0</v>
      </c>
      <c r="AG33" s="230">
        <f t="shared" si="13"/>
        <v>0</v>
      </c>
      <c r="AI33" s="241">
        <v>25212905.555625595</v>
      </c>
      <c r="AJ33" s="198" t="s">
        <v>385</v>
      </c>
    </row>
    <row r="34" spans="1:36" ht="14.15" hidden="1" customHeight="1" x14ac:dyDescent="0.35">
      <c r="A34" s="38" t="s">
        <v>93</v>
      </c>
      <c r="B34" s="179" t="s">
        <v>94</v>
      </c>
      <c r="C34" s="39">
        <v>33264321.608040191</v>
      </c>
      <c r="D34" s="39">
        <v>30484020.100502513</v>
      </c>
      <c r="E34" s="40" t="s">
        <v>27</v>
      </c>
      <c r="F34" s="22">
        <v>33499999.999999993</v>
      </c>
      <c r="G34" s="35">
        <v>30700000</v>
      </c>
      <c r="H34" s="237">
        <v>0.98</v>
      </c>
      <c r="I34" s="25">
        <v>0.98</v>
      </c>
      <c r="J34" s="123">
        <v>0.98</v>
      </c>
      <c r="K34" s="96">
        <v>0.98</v>
      </c>
      <c r="L34" s="25">
        <v>1.6E-2</v>
      </c>
      <c r="M34" s="31">
        <v>1.6E-2</v>
      </c>
      <c r="N34" s="221">
        <v>1.6E-2</v>
      </c>
      <c r="O34" s="20">
        <v>5.0000000000000001E-3</v>
      </c>
      <c r="P34" s="33">
        <v>1.2E-2</v>
      </c>
      <c r="Q34" s="233">
        <v>1.2E-2</v>
      </c>
      <c r="R34" s="25">
        <v>0</v>
      </c>
      <c r="S34" s="196">
        <v>0</v>
      </c>
      <c r="T34" s="241">
        <f t="shared" si="5"/>
        <v>33264321.608040191</v>
      </c>
      <c r="U34" s="147">
        <f t="shared" si="6"/>
        <v>30484020.100502513</v>
      </c>
      <c r="V34" s="31">
        <f t="shared" si="9"/>
        <v>0</v>
      </c>
      <c r="X34" s="77">
        <f t="shared" si="1"/>
        <v>0</v>
      </c>
      <c r="Y34" s="78">
        <f t="shared" si="2"/>
        <v>0</v>
      </c>
      <c r="Z34" s="97">
        <f t="shared" si="3"/>
        <v>-235678.39195980132</v>
      </c>
      <c r="AA34" s="79">
        <f t="shared" si="4"/>
        <v>-7.0351758793970555E-3</v>
      </c>
      <c r="AB34" s="90"/>
      <c r="AC34" s="158"/>
      <c r="AD34" s="90"/>
      <c r="AE34" s="90" t="s">
        <v>95</v>
      </c>
      <c r="AF34" s="230">
        <f t="shared" si="12"/>
        <v>0</v>
      </c>
      <c r="AG34" s="230">
        <f t="shared" si="13"/>
        <v>0</v>
      </c>
      <c r="AI34" s="241">
        <v>33499999.999999993</v>
      </c>
      <c r="AJ34" s="198" t="s">
        <v>339</v>
      </c>
    </row>
    <row r="35" spans="1:36" ht="14.15" hidden="1" customHeight="1" x14ac:dyDescent="0.35">
      <c r="A35" s="38" t="s">
        <v>96</v>
      </c>
      <c r="B35" s="179" t="s">
        <v>97</v>
      </c>
      <c r="C35" s="39">
        <v>9300000.0000000019</v>
      </c>
      <c r="D35" s="39">
        <v>8700000</v>
      </c>
      <c r="E35" s="40" t="s">
        <v>27</v>
      </c>
      <c r="F35" s="22">
        <v>9300000.0000000019</v>
      </c>
      <c r="G35" s="35">
        <v>8700000</v>
      </c>
      <c r="H35" s="237">
        <v>0.97299999999999998</v>
      </c>
      <c r="I35" s="25">
        <v>0.97299999999999998</v>
      </c>
      <c r="J35" s="123">
        <v>0.97299999999999998</v>
      </c>
      <c r="K35" s="96">
        <v>0.97299999999999998</v>
      </c>
      <c r="L35" s="25">
        <v>0</v>
      </c>
      <c r="M35" s="31">
        <v>0</v>
      </c>
      <c r="N35" s="221">
        <v>0</v>
      </c>
      <c r="O35" s="20">
        <v>0</v>
      </c>
      <c r="P35" s="31">
        <v>0</v>
      </c>
      <c r="Q35" s="220">
        <v>0</v>
      </c>
      <c r="R35" s="25">
        <v>0</v>
      </c>
      <c r="S35" s="196">
        <v>0</v>
      </c>
      <c r="T35" s="241">
        <f t="shared" si="5"/>
        <v>9300000.0000000019</v>
      </c>
      <c r="U35" s="147">
        <f t="shared" si="6"/>
        <v>8700000</v>
      </c>
      <c r="V35" s="31">
        <f t="shared" si="9"/>
        <v>0</v>
      </c>
      <c r="X35" s="77">
        <f t="shared" ref="X35:X66" si="14">T35-C35</f>
        <v>0</v>
      </c>
      <c r="Y35" s="78">
        <f t="shared" ref="Y35:Y66" si="15">X35/C35</f>
        <v>0</v>
      </c>
      <c r="Z35" s="97">
        <f t="shared" ref="Z35:Z66" si="16">T35-F35</f>
        <v>0</v>
      </c>
      <c r="AA35" s="79">
        <f t="shared" ref="AA35:AA66" si="17">Z35/F35</f>
        <v>0</v>
      </c>
      <c r="AB35" s="90"/>
      <c r="AC35" s="158"/>
      <c r="AD35" s="90"/>
      <c r="AE35" s="90"/>
      <c r="AF35" s="230">
        <f t="shared" si="12"/>
        <v>0</v>
      </c>
      <c r="AG35" s="230">
        <f t="shared" si="13"/>
        <v>0</v>
      </c>
      <c r="AI35" s="241">
        <v>9300000.0000000019</v>
      </c>
      <c r="AJ35" s="198" t="s">
        <v>339</v>
      </c>
    </row>
    <row r="36" spans="1:36" ht="14.15" hidden="1" customHeight="1" x14ac:dyDescent="0.35">
      <c r="A36" s="38" t="s">
        <v>98</v>
      </c>
      <c r="B36" s="179" t="s">
        <v>99</v>
      </c>
      <c r="C36" s="39">
        <v>14200000.000000002</v>
      </c>
      <c r="D36" s="39">
        <v>13300000</v>
      </c>
      <c r="E36" s="40" t="s">
        <v>27</v>
      </c>
      <c r="F36" s="22">
        <v>14200000.000000002</v>
      </c>
      <c r="G36" s="35">
        <v>13300000</v>
      </c>
      <c r="H36" s="237">
        <v>0.97699999999999998</v>
      </c>
      <c r="I36" s="25">
        <v>0.97699999999999998</v>
      </c>
      <c r="J36" s="123">
        <v>0.97699999999999998</v>
      </c>
      <c r="K36" s="96">
        <v>0.97699999999999998</v>
      </c>
      <c r="L36" s="25">
        <v>0</v>
      </c>
      <c r="M36" s="31">
        <v>0</v>
      </c>
      <c r="N36" s="221">
        <v>0</v>
      </c>
      <c r="O36" s="20">
        <v>0</v>
      </c>
      <c r="P36" s="31">
        <v>0</v>
      </c>
      <c r="Q36" s="220">
        <v>0</v>
      </c>
      <c r="R36" s="25">
        <v>0</v>
      </c>
      <c r="S36" s="196">
        <v>0</v>
      </c>
      <c r="T36" s="241">
        <f t="shared" si="5"/>
        <v>14200000.000000002</v>
      </c>
      <c r="U36" s="147">
        <f t="shared" si="6"/>
        <v>13300000</v>
      </c>
      <c r="V36" s="31">
        <f t="shared" si="9"/>
        <v>0</v>
      </c>
      <c r="X36" s="77">
        <f t="shared" si="14"/>
        <v>0</v>
      </c>
      <c r="Y36" s="78">
        <f t="shared" si="15"/>
        <v>0</v>
      </c>
      <c r="Z36" s="97">
        <f t="shared" si="16"/>
        <v>0</v>
      </c>
      <c r="AA36" s="79">
        <f t="shared" si="17"/>
        <v>0</v>
      </c>
      <c r="AB36" s="90"/>
      <c r="AC36" s="158"/>
      <c r="AD36" s="90"/>
      <c r="AE36" s="90"/>
      <c r="AF36" s="230">
        <f t="shared" si="12"/>
        <v>0</v>
      </c>
      <c r="AG36" s="230">
        <f t="shared" si="13"/>
        <v>0</v>
      </c>
      <c r="AI36" s="241">
        <v>14200000.000000002</v>
      </c>
      <c r="AJ36" s="198" t="s">
        <v>339</v>
      </c>
    </row>
    <row r="37" spans="1:36" ht="14.15" hidden="1" customHeight="1" x14ac:dyDescent="0.35">
      <c r="A37" s="38" t="s">
        <v>100</v>
      </c>
      <c r="B37" s="179" t="s">
        <v>101</v>
      </c>
      <c r="C37" s="39">
        <v>20000000</v>
      </c>
      <c r="D37" s="39">
        <v>18700000</v>
      </c>
      <c r="E37" s="40" t="s">
        <v>27</v>
      </c>
      <c r="F37" s="22">
        <v>20000000</v>
      </c>
      <c r="G37" s="35">
        <v>18700000</v>
      </c>
      <c r="H37" s="237">
        <v>0.97299999999999998</v>
      </c>
      <c r="I37" s="25">
        <v>0.97299999999999998</v>
      </c>
      <c r="J37" s="123">
        <v>0.97299999999999998</v>
      </c>
      <c r="K37" s="223">
        <v>0.97</v>
      </c>
      <c r="L37" s="25">
        <v>0</v>
      </c>
      <c r="M37" s="31">
        <v>0</v>
      </c>
      <c r="N37" s="221">
        <v>0</v>
      </c>
      <c r="O37" s="20">
        <v>0</v>
      </c>
      <c r="P37" s="31">
        <v>0</v>
      </c>
      <c r="Q37" s="220">
        <v>0</v>
      </c>
      <c r="R37" s="25">
        <v>0</v>
      </c>
      <c r="S37" s="196">
        <v>0</v>
      </c>
      <c r="T37" s="241">
        <f t="shared" si="5"/>
        <v>19938335.046248715</v>
      </c>
      <c r="U37" s="147">
        <f t="shared" si="6"/>
        <v>18642343.268242549</v>
      </c>
      <c r="V37" s="31">
        <f t="shared" si="9"/>
        <v>-3.0832476875642316E-3</v>
      </c>
      <c r="X37" s="77">
        <f t="shared" si="14"/>
        <v>-61664.953751284629</v>
      </c>
      <c r="Y37" s="78">
        <f t="shared" si="15"/>
        <v>-3.0832476875642316E-3</v>
      </c>
      <c r="Z37" s="97">
        <f t="shared" si="16"/>
        <v>-61664.953751284629</v>
      </c>
      <c r="AA37" s="79">
        <f t="shared" si="17"/>
        <v>-3.0832476875642316E-3</v>
      </c>
      <c r="AB37" s="90"/>
      <c r="AC37" s="158"/>
      <c r="AD37" s="90"/>
      <c r="AE37" s="90" t="s">
        <v>102</v>
      </c>
      <c r="AF37" s="230">
        <f t="shared" si="12"/>
        <v>0</v>
      </c>
      <c r="AG37" s="230">
        <f t="shared" si="13"/>
        <v>0</v>
      </c>
      <c r="AI37" s="241">
        <v>20000000</v>
      </c>
      <c r="AJ37" s="198" t="s">
        <v>339</v>
      </c>
    </row>
    <row r="38" spans="1:36" ht="14.15" hidden="1" customHeight="1" x14ac:dyDescent="0.35">
      <c r="A38" s="38" t="s">
        <v>103</v>
      </c>
      <c r="B38" s="179" t="s">
        <v>104</v>
      </c>
      <c r="C38" s="39">
        <v>21093956.90604455</v>
      </c>
      <c r="D38" s="39">
        <v>19380742.131949555</v>
      </c>
      <c r="E38" s="40" t="s">
        <v>27</v>
      </c>
      <c r="F38" s="22">
        <v>20767761.696157262</v>
      </c>
      <c r="G38" s="35">
        <v>19081039.934032809</v>
      </c>
      <c r="H38" s="237">
        <v>0.95499999999999996</v>
      </c>
      <c r="I38" s="101">
        <v>0.95499999999999996</v>
      </c>
      <c r="J38" s="125">
        <v>0.97</v>
      </c>
      <c r="K38" s="223">
        <f>97%-0.003</f>
        <v>0.96699999999999997</v>
      </c>
      <c r="L38" s="25">
        <v>1.2E-2</v>
      </c>
      <c r="M38" s="31">
        <v>1.2E-2</v>
      </c>
      <c r="N38" s="221">
        <v>1.2E-2</v>
      </c>
      <c r="O38" s="20">
        <v>0</v>
      </c>
      <c r="P38" s="31">
        <v>0</v>
      </c>
      <c r="Q38" s="232">
        <v>1.35E-2</v>
      </c>
      <c r="R38" s="25">
        <v>0</v>
      </c>
      <c r="S38" s="196">
        <v>0</v>
      </c>
      <c r="T38" s="241">
        <f t="shared" si="5"/>
        <v>20744830.172902189</v>
      </c>
      <c r="U38" s="147">
        <f t="shared" si="6"/>
        <v>19059970.869519264</v>
      </c>
      <c r="V38" s="31">
        <f t="shared" si="9"/>
        <v>-1.6551030927834953E-2</v>
      </c>
      <c r="X38" s="77">
        <f t="shared" si="14"/>
        <v>-349126.73314236104</v>
      </c>
      <c r="Y38" s="78">
        <f t="shared" si="15"/>
        <v>-1.6551030927834953E-2</v>
      </c>
      <c r="Z38" s="97">
        <f t="shared" si="16"/>
        <v>-22931.523255072534</v>
      </c>
      <c r="AA38" s="79">
        <f t="shared" si="17"/>
        <v>-1.104188481675213E-3</v>
      </c>
      <c r="AB38" s="90"/>
      <c r="AC38" s="163" t="s">
        <v>319</v>
      </c>
      <c r="AD38" s="90"/>
      <c r="AE38" s="90"/>
      <c r="AF38" s="230">
        <f t="shared" si="12"/>
        <v>0</v>
      </c>
      <c r="AG38" s="230">
        <f t="shared" si="13"/>
        <v>0</v>
      </c>
      <c r="AI38" s="241">
        <v>20767761.696157262</v>
      </c>
      <c r="AJ38" s="198" t="s">
        <v>339</v>
      </c>
    </row>
    <row r="39" spans="1:36" ht="14.15" hidden="1" customHeight="1" x14ac:dyDescent="0.35">
      <c r="A39" s="38" t="s">
        <v>103</v>
      </c>
      <c r="B39" s="179" t="s">
        <v>105</v>
      </c>
      <c r="C39" s="39">
        <v>18924891.261494737</v>
      </c>
      <c r="D39" s="39">
        <v>17387844.255485006</v>
      </c>
      <c r="E39" s="40" t="s">
        <v>27</v>
      </c>
      <c r="F39" s="22">
        <v>18632238.303842757</v>
      </c>
      <c r="G39" s="35">
        <v>17118960.065967195</v>
      </c>
      <c r="H39" s="237">
        <v>0.95499999999999996</v>
      </c>
      <c r="I39" s="101">
        <v>0.95499999999999996</v>
      </c>
      <c r="J39" s="125">
        <v>0.97</v>
      </c>
      <c r="K39" s="223">
        <f>97%-0.003</f>
        <v>0.96699999999999997</v>
      </c>
      <c r="L39" s="25">
        <v>1.2E-2</v>
      </c>
      <c r="M39" s="31">
        <v>1.2E-2</v>
      </c>
      <c r="N39" s="221">
        <v>1.2E-2</v>
      </c>
      <c r="O39" s="20">
        <v>0</v>
      </c>
      <c r="P39" s="31">
        <v>0</v>
      </c>
      <c r="Q39" s="232">
        <v>1.35E-2</v>
      </c>
      <c r="R39" s="25">
        <v>0</v>
      </c>
      <c r="S39" s="196">
        <v>0</v>
      </c>
      <c r="T39" s="241">
        <f t="shared" si="5"/>
        <v>18611664.800919823</v>
      </c>
      <c r="U39" s="147">
        <f t="shared" si="6"/>
        <v>17100057.507444095</v>
      </c>
      <c r="V39" s="31">
        <f t="shared" si="9"/>
        <v>-1.6551030927835001E-2</v>
      </c>
      <c r="X39" s="77">
        <f t="shared" si="14"/>
        <v>-313226.46057491377</v>
      </c>
      <c r="Y39" s="78">
        <f t="shared" si="15"/>
        <v>-1.6551030927835001E-2</v>
      </c>
      <c r="Z39" s="97">
        <f t="shared" si="16"/>
        <v>-20573.502922933549</v>
      </c>
      <c r="AA39" s="79">
        <f t="shared" si="17"/>
        <v>-1.1041884816753562E-3</v>
      </c>
      <c r="AB39" s="90"/>
      <c r="AC39" s="163" t="s">
        <v>319</v>
      </c>
      <c r="AD39" s="90"/>
      <c r="AE39" s="90"/>
      <c r="AF39" s="230">
        <f t="shared" si="12"/>
        <v>0</v>
      </c>
      <c r="AG39" s="230">
        <f t="shared" si="13"/>
        <v>0</v>
      </c>
      <c r="AI39" s="241">
        <v>18632238.303842757</v>
      </c>
      <c r="AJ39" s="198" t="s">
        <v>339</v>
      </c>
    </row>
    <row r="40" spans="1:36" ht="14.15" hidden="1" customHeight="1" x14ac:dyDescent="0.35">
      <c r="A40" s="38" t="s">
        <v>106</v>
      </c>
      <c r="B40" s="179" t="s">
        <v>107</v>
      </c>
      <c r="C40" s="39">
        <v>29574732.909116253</v>
      </c>
      <c r="D40" s="39">
        <v>27328033.585909903</v>
      </c>
      <c r="E40" s="40" t="s">
        <v>27</v>
      </c>
      <c r="F40" s="22">
        <v>29366919.480970953</v>
      </c>
      <c r="G40" s="35">
        <v>27136007.089460727</v>
      </c>
      <c r="H40" s="237">
        <v>0.96799999999999997</v>
      </c>
      <c r="I40" s="101">
        <v>0.96799999999999997</v>
      </c>
      <c r="J40" s="124">
        <f>96.8%+0.2%</f>
        <v>0.97</v>
      </c>
      <c r="K40" s="126">
        <v>0.97</v>
      </c>
      <c r="L40" s="25">
        <v>0</v>
      </c>
      <c r="M40" s="31">
        <v>0</v>
      </c>
      <c r="N40" s="221">
        <v>0</v>
      </c>
      <c r="O40" s="20">
        <v>0</v>
      </c>
      <c r="P40" s="31">
        <v>0</v>
      </c>
      <c r="Q40" s="220">
        <v>0</v>
      </c>
      <c r="R40" s="25">
        <v>5.0000000000000001E-3</v>
      </c>
      <c r="S40" s="68">
        <v>5.0000000000000001E-3</v>
      </c>
      <c r="T40" s="241">
        <f t="shared" si="5"/>
        <v>29574732.909116253</v>
      </c>
      <c r="U40" s="147">
        <f t="shared" si="6"/>
        <v>27328033.585909903</v>
      </c>
      <c r="V40" s="31">
        <f t="shared" si="9"/>
        <v>0</v>
      </c>
      <c r="W40" s="13" t="s">
        <v>38</v>
      </c>
      <c r="X40" s="77">
        <f t="shared" si="14"/>
        <v>0</v>
      </c>
      <c r="Y40" s="78">
        <f t="shared" si="15"/>
        <v>0</v>
      </c>
      <c r="Z40" s="97">
        <f t="shared" si="16"/>
        <v>207813.4281453006</v>
      </c>
      <c r="AA40" s="79">
        <f t="shared" si="17"/>
        <v>7.0764462809917335E-3</v>
      </c>
      <c r="AB40" s="90"/>
      <c r="AC40" s="159" t="s">
        <v>287</v>
      </c>
      <c r="AD40" s="90" t="s">
        <v>371</v>
      </c>
      <c r="AE40" s="90" t="s">
        <v>286</v>
      </c>
      <c r="AF40" s="230">
        <f t="shared" si="12"/>
        <v>0</v>
      </c>
      <c r="AG40" s="230">
        <f t="shared" si="13"/>
        <v>0</v>
      </c>
      <c r="AI40" s="241">
        <v>29366919.480970953</v>
      </c>
      <c r="AJ40" s="198" t="s">
        <v>385</v>
      </c>
    </row>
    <row r="41" spans="1:36" ht="14.15" hidden="1" customHeight="1" x14ac:dyDescent="0.35">
      <c r="A41" s="38" t="s">
        <v>106</v>
      </c>
      <c r="B41" s="179" t="s">
        <v>108</v>
      </c>
      <c r="C41" s="39">
        <v>14660147.357992103</v>
      </c>
      <c r="D41" s="39">
        <v>13546462.130520327</v>
      </c>
      <c r="E41" s="40" t="s">
        <v>27</v>
      </c>
      <c r="F41" s="22">
        <v>14557134.577151723</v>
      </c>
      <c r="G41" s="35">
        <v>13451274.906235501</v>
      </c>
      <c r="H41" s="237">
        <v>0.96799999999999997</v>
      </c>
      <c r="I41" s="101">
        <v>0.96799999999999997</v>
      </c>
      <c r="J41" s="124">
        <f>96.8%+0.2%</f>
        <v>0.97</v>
      </c>
      <c r="K41" s="126">
        <v>0.97</v>
      </c>
      <c r="L41" s="25">
        <v>0</v>
      </c>
      <c r="M41" s="31">
        <v>0</v>
      </c>
      <c r="N41" s="221">
        <v>0</v>
      </c>
      <c r="O41" s="20">
        <v>0</v>
      </c>
      <c r="P41" s="31">
        <v>0</v>
      </c>
      <c r="Q41" s="220">
        <v>0</v>
      </c>
      <c r="R41" s="25">
        <v>5.0000000000000001E-3</v>
      </c>
      <c r="S41" s="68">
        <v>5.0000000000000001E-3</v>
      </c>
      <c r="T41" s="241">
        <f t="shared" si="5"/>
        <v>14660147.357992103</v>
      </c>
      <c r="U41" s="147">
        <f t="shared" si="6"/>
        <v>13546462.130520327</v>
      </c>
      <c r="V41" s="31">
        <f t="shared" si="9"/>
        <v>0</v>
      </c>
      <c r="W41" s="13" t="s">
        <v>38</v>
      </c>
      <c r="X41" s="77">
        <f t="shared" si="14"/>
        <v>0</v>
      </c>
      <c r="Y41" s="78">
        <f t="shared" si="15"/>
        <v>0</v>
      </c>
      <c r="Z41" s="97">
        <f t="shared" si="16"/>
        <v>103012.78084038012</v>
      </c>
      <c r="AA41" s="79">
        <f t="shared" si="17"/>
        <v>7.0764462809916398E-3</v>
      </c>
      <c r="AB41" s="90"/>
      <c r="AC41" s="159" t="s">
        <v>287</v>
      </c>
      <c r="AD41" s="90" t="s">
        <v>371</v>
      </c>
      <c r="AE41" s="90" t="s">
        <v>286</v>
      </c>
      <c r="AF41" s="230">
        <f t="shared" si="12"/>
        <v>0</v>
      </c>
      <c r="AG41" s="230">
        <f t="shared" si="13"/>
        <v>0</v>
      </c>
      <c r="AI41" s="241">
        <v>14557134.577151723</v>
      </c>
      <c r="AJ41" s="198" t="s">
        <v>385</v>
      </c>
    </row>
    <row r="42" spans="1:36" ht="14.15" hidden="1" customHeight="1" x14ac:dyDescent="0.35">
      <c r="A42" s="38" t="s">
        <v>106</v>
      </c>
      <c r="B42" s="179" t="s">
        <v>109</v>
      </c>
      <c r="C42" s="39">
        <v>28677454.44363543</v>
      </c>
      <c r="D42" s="39">
        <v>26498918.539768092</v>
      </c>
      <c r="E42" s="40" t="s">
        <v>27</v>
      </c>
      <c r="F42" s="22">
        <v>28475945.941877313</v>
      </c>
      <c r="G42" s="35">
        <v>26312718.004303757</v>
      </c>
      <c r="H42" s="237">
        <v>0.96799999999999997</v>
      </c>
      <c r="I42" s="101">
        <v>0.96799999999999997</v>
      </c>
      <c r="J42" s="124">
        <f>96.8%+0.2%</f>
        <v>0.97</v>
      </c>
      <c r="K42" s="126">
        <v>0.97</v>
      </c>
      <c r="L42" s="25">
        <v>0</v>
      </c>
      <c r="M42" s="31">
        <v>0</v>
      </c>
      <c r="N42" s="221">
        <v>0</v>
      </c>
      <c r="O42" s="20">
        <v>0</v>
      </c>
      <c r="P42" s="31">
        <v>0</v>
      </c>
      <c r="Q42" s="220">
        <v>0</v>
      </c>
      <c r="R42" s="25">
        <v>5.0000000000000001E-3</v>
      </c>
      <c r="S42" s="68">
        <v>5.0000000000000001E-3</v>
      </c>
      <c r="T42" s="241">
        <f t="shared" si="5"/>
        <v>28677454.44363543</v>
      </c>
      <c r="U42" s="147">
        <f t="shared" si="6"/>
        <v>26498918.539768092</v>
      </c>
      <c r="V42" s="31">
        <f t="shared" si="9"/>
        <v>0</v>
      </c>
      <c r="W42" s="13" t="s">
        <v>38</v>
      </c>
      <c r="X42" s="77">
        <f t="shared" si="14"/>
        <v>0</v>
      </c>
      <c r="Y42" s="78">
        <f t="shared" si="15"/>
        <v>0</v>
      </c>
      <c r="Z42" s="97">
        <f t="shared" si="16"/>
        <v>201508.50175811723</v>
      </c>
      <c r="AA42" s="79">
        <f t="shared" si="17"/>
        <v>7.0764462809916589E-3</v>
      </c>
      <c r="AB42" s="90"/>
      <c r="AC42" s="159" t="s">
        <v>287</v>
      </c>
      <c r="AD42" s="90" t="s">
        <v>371</v>
      </c>
      <c r="AE42" s="90" t="s">
        <v>286</v>
      </c>
      <c r="AF42" s="230">
        <f t="shared" si="12"/>
        <v>0</v>
      </c>
      <c r="AG42" s="230">
        <f t="shared" si="13"/>
        <v>0</v>
      </c>
      <c r="AI42" s="241">
        <v>28475945.941877313</v>
      </c>
      <c r="AJ42" s="198" t="s">
        <v>385</v>
      </c>
    </row>
    <row r="43" spans="1:36" ht="14.15" hidden="1" customHeight="1" x14ac:dyDescent="0.35">
      <c r="A43" s="38" t="s">
        <v>110</v>
      </c>
      <c r="B43" s="179" t="s">
        <v>111</v>
      </c>
      <c r="C43" s="39">
        <v>15497424.72714993</v>
      </c>
      <c r="D43" s="39">
        <v>13888704.867941573</v>
      </c>
      <c r="E43" s="40" t="s">
        <v>112</v>
      </c>
      <c r="F43" s="22">
        <f>16300000</f>
        <v>16300000</v>
      </c>
      <c r="G43" s="35">
        <v>14100000</v>
      </c>
      <c r="H43" s="237">
        <v>0.88800000000000001</v>
      </c>
      <c r="I43" s="101">
        <v>0.89</v>
      </c>
      <c r="J43" s="124">
        <f>89%+1.3%</f>
        <v>0.90300000000000002</v>
      </c>
      <c r="K43" s="126">
        <v>0.93</v>
      </c>
      <c r="L43" s="25">
        <v>6.0000000000000001E-3</v>
      </c>
      <c r="M43" s="31">
        <v>1.2E-2</v>
      </c>
      <c r="N43" s="203">
        <v>6.0000000000000001E-3</v>
      </c>
      <c r="O43" s="20">
        <v>0</v>
      </c>
      <c r="P43" s="31">
        <v>0</v>
      </c>
      <c r="Q43" s="203">
        <v>0.04</v>
      </c>
      <c r="R43" s="25">
        <v>0</v>
      </c>
      <c r="S43" s="196">
        <v>0</v>
      </c>
      <c r="T43" s="241">
        <f t="shared" si="5"/>
        <v>16388108.108108111</v>
      </c>
      <c r="U43" s="147">
        <f t="shared" si="6"/>
        <v>14144359.550561797</v>
      </c>
      <c r="V43" s="31">
        <f t="shared" si="9"/>
        <v>5.7472992877183854E-2</v>
      </c>
      <c r="W43" s="13" t="s">
        <v>113</v>
      </c>
      <c r="X43" s="77">
        <f t="shared" si="14"/>
        <v>890683.38095818087</v>
      </c>
      <c r="Y43" s="78">
        <f t="shared" si="15"/>
        <v>5.7472992877183854E-2</v>
      </c>
      <c r="Z43" s="97">
        <f t="shared" si="16"/>
        <v>88108.108108110726</v>
      </c>
      <c r="AA43" s="79">
        <f t="shared" si="17"/>
        <v>5.4054054054055662E-3</v>
      </c>
      <c r="AB43" s="103"/>
      <c r="AC43" s="159" t="s">
        <v>289</v>
      </c>
      <c r="AD43" s="103"/>
      <c r="AE43" s="103" t="s">
        <v>288</v>
      </c>
      <c r="AF43" s="230">
        <f t="shared" si="12"/>
        <v>-6.2925353989534694E-4</v>
      </c>
      <c r="AG43" s="230">
        <f t="shared" si="13"/>
        <v>-1025683.2700294163</v>
      </c>
      <c r="AH43" s="81" t="s">
        <v>379</v>
      </c>
      <c r="AI43" s="241">
        <v>15274316.729970584</v>
      </c>
      <c r="AJ43" s="198" t="s">
        <v>339</v>
      </c>
    </row>
    <row r="44" spans="1:36" ht="14.15" hidden="1" customHeight="1" x14ac:dyDescent="0.35">
      <c r="A44" s="38" t="s">
        <v>114</v>
      </c>
      <c r="B44" s="179" t="s">
        <v>115</v>
      </c>
      <c r="C44" s="39">
        <v>21295496.476765409</v>
      </c>
      <c r="D44" s="39">
        <v>19650722.358641252</v>
      </c>
      <c r="E44" s="40" t="s">
        <v>27</v>
      </c>
      <c r="F44" s="22">
        <v>21189548.733099911</v>
      </c>
      <c r="G44" s="35">
        <v>19552957.570787318</v>
      </c>
      <c r="H44" s="237">
        <v>0.97199999999999998</v>
      </c>
      <c r="I44" s="25">
        <v>0.97199999999999998</v>
      </c>
      <c r="J44" s="123">
        <v>0.97199999999999998</v>
      </c>
      <c r="K44" s="96">
        <v>0.97199999999999998</v>
      </c>
      <c r="L44" s="25">
        <v>0</v>
      </c>
      <c r="M44" s="31">
        <v>0</v>
      </c>
      <c r="N44" s="221">
        <v>0</v>
      </c>
      <c r="O44" s="20">
        <v>0</v>
      </c>
      <c r="P44" s="31">
        <v>0</v>
      </c>
      <c r="Q44" s="233">
        <v>0.04</v>
      </c>
      <c r="R44" s="25">
        <v>5.0000000000000001E-3</v>
      </c>
      <c r="S44" s="68">
        <v>5.0000000000000001E-3</v>
      </c>
      <c r="T44" s="241">
        <f t="shared" si="5"/>
        <v>20443676.617694791</v>
      </c>
      <c r="U44" s="147">
        <f t="shared" si="6"/>
        <v>18864693.464295603</v>
      </c>
      <c r="V44" s="31">
        <f t="shared" si="9"/>
        <v>-4.0000000000000063E-2</v>
      </c>
      <c r="W44" s="13" t="s">
        <v>38</v>
      </c>
      <c r="X44" s="77">
        <f t="shared" si="14"/>
        <v>-851819.85907061771</v>
      </c>
      <c r="Y44" s="78">
        <f t="shared" si="15"/>
        <v>-4.0000000000000063E-2</v>
      </c>
      <c r="Z44" s="97">
        <f t="shared" si="16"/>
        <v>-745872.11540511996</v>
      </c>
      <c r="AA44" s="79">
        <f t="shared" si="17"/>
        <v>-3.5200000000000148E-2</v>
      </c>
      <c r="AB44" s="90"/>
      <c r="AC44" s="158"/>
      <c r="AD44" s="90" t="s">
        <v>371</v>
      </c>
      <c r="AE44" s="90" t="s">
        <v>286</v>
      </c>
      <c r="AF44" s="230">
        <f t="shared" si="12"/>
        <v>0</v>
      </c>
      <c r="AG44" s="230">
        <f t="shared" si="13"/>
        <v>0</v>
      </c>
      <c r="AI44" s="241">
        <v>21189548.733099911</v>
      </c>
      <c r="AJ44" s="198" t="s">
        <v>385</v>
      </c>
    </row>
    <row r="45" spans="1:36" ht="14.15" hidden="1" customHeight="1" x14ac:dyDescent="0.35">
      <c r="A45" s="38" t="s">
        <v>114</v>
      </c>
      <c r="B45" s="179" t="s">
        <v>116</v>
      </c>
      <c r="C45" s="39">
        <v>6713269.631441405</v>
      </c>
      <c r="D45" s="39">
        <v>6194765.0664113779</v>
      </c>
      <c r="E45" s="40" t="s">
        <v>27</v>
      </c>
      <c r="F45" s="22">
        <v>6679870.2800412001</v>
      </c>
      <c r="G45" s="35">
        <v>6163945.3397128144</v>
      </c>
      <c r="H45" s="237">
        <v>0.97199999999999998</v>
      </c>
      <c r="I45" s="25">
        <v>0.97199999999999998</v>
      </c>
      <c r="J45" s="123">
        <v>0.97199999999999998</v>
      </c>
      <c r="K45" s="96">
        <v>0.97199999999999998</v>
      </c>
      <c r="L45" s="25">
        <v>0</v>
      </c>
      <c r="M45" s="31">
        <v>0</v>
      </c>
      <c r="N45" s="221">
        <v>0</v>
      </c>
      <c r="O45" s="20">
        <v>0</v>
      </c>
      <c r="P45" s="31">
        <v>0</v>
      </c>
      <c r="Q45" s="233">
        <v>0.04</v>
      </c>
      <c r="R45" s="25">
        <v>5.0000000000000001E-3</v>
      </c>
      <c r="S45" s="68">
        <v>5.0000000000000001E-3</v>
      </c>
      <c r="T45" s="241">
        <f t="shared" si="5"/>
        <v>6444738.8461837489</v>
      </c>
      <c r="U45" s="147">
        <f t="shared" si="6"/>
        <v>5946974.4637549222</v>
      </c>
      <c r="V45" s="31">
        <f t="shared" ref="V45:V76" si="18">(T45-C45)/C45</f>
        <v>-3.9999999999999987E-2</v>
      </c>
      <c r="W45" s="13" t="s">
        <v>38</v>
      </c>
      <c r="X45" s="77">
        <f t="shared" si="14"/>
        <v>-268530.78525765613</v>
      </c>
      <c r="Y45" s="78">
        <f t="shared" si="15"/>
        <v>-3.9999999999999987E-2</v>
      </c>
      <c r="Z45" s="97">
        <f t="shared" si="16"/>
        <v>-235131.43385745119</v>
      </c>
      <c r="AA45" s="79">
        <f t="shared" si="17"/>
        <v>-3.5200000000000141E-2</v>
      </c>
      <c r="AB45" s="90"/>
      <c r="AC45" s="158"/>
      <c r="AD45" s="90" t="s">
        <v>371</v>
      </c>
      <c r="AE45" s="90" t="s">
        <v>286</v>
      </c>
      <c r="AF45" s="230">
        <f t="shared" si="12"/>
        <v>0</v>
      </c>
      <c r="AG45" s="230">
        <f t="shared" si="13"/>
        <v>0</v>
      </c>
      <c r="AI45" s="241">
        <v>6679870.2800412001</v>
      </c>
      <c r="AJ45" s="198" t="s">
        <v>385</v>
      </c>
    </row>
    <row r="46" spans="1:36" ht="14.15" hidden="1" customHeight="1" x14ac:dyDescent="0.35">
      <c r="A46" s="38" t="s">
        <v>114</v>
      </c>
      <c r="B46" s="179" t="s">
        <v>117</v>
      </c>
      <c r="C46" s="39">
        <v>21437233.891793177</v>
      </c>
      <c r="D46" s="39">
        <v>19781512.574947361</v>
      </c>
      <c r="E46" s="40" t="s">
        <v>27</v>
      </c>
      <c r="F46" s="22">
        <v>21330580.986858886</v>
      </c>
      <c r="G46" s="35">
        <v>19683097.089499865</v>
      </c>
      <c r="H46" s="237">
        <v>0.97199999999999998</v>
      </c>
      <c r="I46" s="25">
        <v>0.97199999999999998</v>
      </c>
      <c r="J46" s="123">
        <v>0.97199999999999998</v>
      </c>
      <c r="K46" s="96">
        <v>0.97199999999999998</v>
      </c>
      <c r="L46" s="25">
        <v>0</v>
      </c>
      <c r="M46" s="31">
        <v>0</v>
      </c>
      <c r="N46" s="221">
        <v>0</v>
      </c>
      <c r="O46" s="20">
        <v>0</v>
      </c>
      <c r="P46" s="31">
        <v>0</v>
      </c>
      <c r="Q46" s="233">
        <v>0.04</v>
      </c>
      <c r="R46" s="25">
        <v>5.0000000000000001E-3</v>
      </c>
      <c r="S46" s="68">
        <v>5.0000000000000001E-3</v>
      </c>
      <c r="T46" s="241">
        <f t="shared" si="5"/>
        <v>20579744.53612145</v>
      </c>
      <c r="U46" s="147">
        <f t="shared" si="6"/>
        <v>18990252.071949467</v>
      </c>
      <c r="V46" s="31">
        <f t="shared" si="18"/>
        <v>-3.9999999999999959E-2</v>
      </c>
      <c r="W46" s="13" t="s">
        <v>38</v>
      </c>
      <c r="X46" s="77">
        <f t="shared" si="14"/>
        <v>-857489.35567172617</v>
      </c>
      <c r="Y46" s="78">
        <f t="shared" si="15"/>
        <v>-3.9999999999999959E-2</v>
      </c>
      <c r="Z46" s="97">
        <f t="shared" si="16"/>
        <v>-750836.45073743537</v>
      </c>
      <c r="AA46" s="79">
        <f t="shared" si="17"/>
        <v>-3.520000000000012E-2</v>
      </c>
      <c r="AB46" s="90"/>
      <c r="AC46" s="158"/>
      <c r="AD46" s="90" t="s">
        <v>371</v>
      </c>
      <c r="AE46" s="90" t="s">
        <v>286</v>
      </c>
      <c r="AF46" s="230">
        <f t="shared" si="12"/>
        <v>0</v>
      </c>
      <c r="AG46" s="230">
        <f t="shared" si="13"/>
        <v>0</v>
      </c>
      <c r="AI46" s="241">
        <v>21330580.986858886</v>
      </c>
      <c r="AJ46" s="198" t="s">
        <v>385</v>
      </c>
    </row>
    <row r="47" spans="1:36" ht="14.15" hidden="1" customHeight="1" x14ac:dyDescent="0.35">
      <c r="A47" s="38" t="s">
        <v>118</v>
      </c>
      <c r="B47" s="179" t="s">
        <v>119</v>
      </c>
      <c r="C47" s="39">
        <v>23439800</v>
      </c>
      <c r="D47" s="39">
        <v>21830200</v>
      </c>
      <c r="E47" s="40" t="s">
        <v>27</v>
      </c>
      <c r="F47" s="22">
        <v>23300000</v>
      </c>
      <c r="G47" s="35">
        <v>21700000</v>
      </c>
      <c r="H47" s="237">
        <v>0.98299999999999998</v>
      </c>
      <c r="I47" s="25">
        <v>0.98299999999999998</v>
      </c>
      <c r="J47" s="123">
        <v>0.98299999999999998</v>
      </c>
      <c r="K47" s="223">
        <f>0.97-0.003</f>
        <v>0.96699999999999997</v>
      </c>
      <c r="L47" s="25">
        <v>0</v>
      </c>
      <c r="M47" s="31">
        <v>0</v>
      </c>
      <c r="N47" s="221">
        <v>0</v>
      </c>
      <c r="O47" s="20">
        <v>0</v>
      </c>
      <c r="P47" s="31">
        <v>0</v>
      </c>
      <c r="Q47" s="220">
        <v>0</v>
      </c>
      <c r="R47" s="25">
        <v>6.0000000000000001E-3</v>
      </c>
      <c r="S47" s="68">
        <v>6.0000000000000001E-3</v>
      </c>
      <c r="T47" s="241">
        <f t="shared" si="5"/>
        <v>23058277.314343844</v>
      </c>
      <c r="U47" s="147">
        <f t="shared" si="6"/>
        <v>21474876.297049843</v>
      </c>
      <c r="V47" s="31">
        <f t="shared" si="18"/>
        <v>-1.6276703967446668E-2</v>
      </c>
      <c r="X47" s="77">
        <f t="shared" si="14"/>
        <v>-381522.68565615639</v>
      </c>
      <c r="Y47" s="78">
        <f t="shared" si="15"/>
        <v>-1.6276703967446668E-2</v>
      </c>
      <c r="Z47" s="97">
        <f t="shared" si="16"/>
        <v>-241722.68565615639</v>
      </c>
      <c r="AA47" s="79">
        <f t="shared" si="17"/>
        <v>-1.0374364191251347E-2</v>
      </c>
      <c r="AB47" s="90"/>
      <c r="AC47" s="158"/>
      <c r="AD47" s="90" t="s">
        <v>120</v>
      </c>
      <c r="AE47" s="90" t="s">
        <v>120</v>
      </c>
      <c r="AF47" s="230">
        <f t="shared" si="12"/>
        <v>0</v>
      </c>
      <c r="AG47" s="230">
        <f t="shared" si="13"/>
        <v>0</v>
      </c>
      <c r="AI47" s="241">
        <v>23300000</v>
      </c>
      <c r="AJ47" s="198" t="s">
        <v>385</v>
      </c>
    </row>
    <row r="48" spans="1:36" ht="14.15" hidden="1" customHeight="1" x14ac:dyDescent="0.35">
      <c r="A48" s="38" t="s">
        <v>121</v>
      </c>
      <c r="B48" s="179" t="s">
        <v>122</v>
      </c>
      <c r="C48" s="39">
        <v>26894267.676372904</v>
      </c>
      <c r="D48" s="39">
        <v>24752557.065069057</v>
      </c>
      <c r="E48" s="40" t="s">
        <v>27</v>
      </c>
      <c r="F48" s="22">
        <v>26754571.913584143</v>
      </c>
      <c r="G48" s="35">
        <v>24623985.899578098</v>
      </c>
      <c r="H48" s="237">
        <v>0.96699999999999997</v>
      </c>
      <c r="I48" s="25">
        <v>0.96699999999999997</v>
      </c>
      <c r="J48" s="123">
        <v>0.96699999999999997</v>
      </c>
      <c r="K48" s="223">
        <v>0.97</v>
      </c>
      <c r="L48" s="25">
        <v>8.9999999999999993E-3</v>
      </c>
      <c r="M48" s="33">
        <v>2.3E-2</v>
      </c>
      <c r="N48" s="221">
        <v>2.3E-2</v>
      </c>
      <c r="O48" s="20">
        <v>3.7999999999999999E-2</v>
      </c>
      <c r="P48" s="33">
        <v>2.4E-2</v>
      </c>
      <c r="Q48" s="234">
        <v>2.4E-2</v>
      </c>
      <c r="R48" s="25">
        <f>0.5%</f>
        <v>5.0000000000000001E-3</v>
      </c>
      <c r="S48" s="68">
        <v>5.0000000000000001E-3</v>
      </c>
      <c r="T48" s="241">
        <f t="shared" si="5"/>
        <v>26977703.873921111</v>
      </c>
      <c r="U48" s="147">
        <f t="shared" si="6"/>
        <v>24829348.86568458</v>
      </c>
      <c r="V48" s="31">
        <f t="shared" si="18"/>
        <v>3.1023784901756998E-3</v>
      </c>
      <c r="W48" s="13" t="s">
        <v>38</v>
      </c>
      <c r="X48" s="77">
        <f t="shared" si="14"/>
        <v>83436.197548206896</v>
      </c>
      <c r="Y48" s="78">
        <f t="shared" si="15"/>
        <v>3.1023784901756998E-3</v>
      </c>
      <c r="Z48" s="97">
        <f t="shared" si="16"/>
        <v>223131.9603369683</v>
      </c>
      <c r="AA48" s="79">
        <f t="shared" si="17"/>
        <v>8.3399562907480931E-3</v>
      </c>
      <c r="AB48" s="90"/>
      <c r="AC48" s="158"/>
      <c r="AD48" s="90" t="s">
        <v>372</v>
      </c>
      <c r="AE48" s="90" t="s">
        <v>290</v>
      </c>
      <c r="AF48" s="230">
        <f t="shared" si="12"/>
        <v>0</v>
      </c>
      <c r="AG48" s="230">
        <f t="shared" si="13"/>
        <v>0</v>
      </c>
      <c r="AI48" s="241">
        <v>26754571.913584143</v>
      </c>
      <c r="AJ48" s="198" t="s">
        <v>385</v>
      </c>
    </row>
    <row r="49" spans="1:36" ht="14.15" hidden="1" customHeight="1" x14ac:dyDescent="0.35">
      <c r="A49" s="38" t="s">
        <v>121</v>
      </c>
      <c r="B49" s="179" t="s">
        <v>123</v>
      </c>
      <c r="C49" s="39">
        <v>25343634.085933834</v>
      </c>
      <c r="D49" s="39">
        <v>23325407.350631014</v>
      </c>
      <c r="E49" s="40" t="s">
        <v>27</v>
      </c>
      <c r="F49" s="22">
        <v>25211992.713947937</v>
      </c>
      <c r="G49" s="35">
        <v>23204249.168842427</v>
      </c>
      <c r="H49" s="237">
        <v>0.96699999999999997</v>
      </c>
      <c r="I49" s="25">
        <v>0.96699999999999997</v>
      </c>
      <c r="J49" s="123">
        <v>0.96699999999999997</v>
      </c>
      <c r="K49" s="223">
        <v>0.97</v>
      </c>
      <c r="L49" s="25">
        <v>8.9999999999999993E-3</v>
      </c>
      <c r="M49" s="33">
        <v>2.3E-2</v>
      </c>
      <c r="N49" s="221">
        <v>2.3E-2</v>
      </c>
      <c r="O49" s="20">
        <v>3.7999999999999999E-2</v>
      </c>
      <c r="P49" s="33">
        <v>2.4E-2</v>
      </c>
      <c r="Q49" s="234">
        <v>2.4E-2</v>
      </c>
      <c r="R49" s="25">
        <v>5.0000000000000001E-3</v>
      </c>
      <c r="S49" s="68">
        <v>5.0000000000000001E-3</v>
      </c>
      <c r="T49" s="241">
        <f t="shared" si="5"/>
        <v>25422259.631184917</v>
      </c>
      <c r="U49" s="147">
        <f t="shared" si="6"/>
        <v>23397771.592670202</v>
      </c>
      <c r="V49" s="31">
        <f t="shared" si="18"/>
        <v>3.1023784901756139E-3</v>
      </c>
      <c r="W49" s="13" t="s">
        <v>38</v>
      </c>
      <c r="X49" s="77">
        <f t="shared" si="14"/>
        <v>78625.545251082629</v>
      </c>
      <c r="Y49" s="78">
        <f t="shared" si="15"/>
        <v>3.1023784901756139E-3</v>
      </c>
      <c r="Z49" s="97">
        <f t="shared" si="16"/>
        <v>210266.91723698005</v>
      </c>
      <c r="AA49" s="79">
        <f t="shared" si="17"/>
        <v>8.3399562907478901E-3</v>
      </c>
      <c r="AB49" s="90"/>
      <c r="AC49" s="158"/>
      <c r="AD49" s="90" t="s">
        <v>372</v>
      </c>
      <c r="AE49" s="90" t="s">
        <v>290</v>
      </c>
      <c r="AF49" s="230">
        <f t="shared" si="12"/>
        <v>0</v>
      </c>
      <c r="AG49" s="230">
        <f t="shared" si="13"/>
        <v>0</v>
      </c>
      <c r="AI49" s="241">
        <v>25211992.713947937</v>
      </c>
      <c r="AJ49" s="198" t="s">
        <v>385</v>
      </c>
    </row>
    <row r="50" spans="1:36" ht="14.15" hidden="1" customHeight="1" x14ac:dyDescent="0.35">
      <c r="A50" s="38" t="s">
        <v>121</v>
      </c>
      <c r="B50" s="179" t="s">
        <v>124</v>
      </c>
      <c r="C50" s="39">
        <v>24762055.877239175</v>
      </c>
      <c r="D50" s="39">
        <v>22790142.81129716</v>
      </c>
      <c r="E50" s="40" t="s">
        <v>27</v>
      </c>
      <c r="F50" s="22">
        <v>24633435.372467902</v>
      </c>
      <c r="G50" s="35">
        <v>22671764.931579471</v>
      </c>
      <c r="H50" s="237">
        <v>0.96699999999999997</v>
      </c>
      <c r="I50" s="25">
        <v>0.96699999999999997</v>
      </c>
      <c r="J50" s="123">
        <v>0.96699999999999997</v>
      </c>
      <c r="K50" s="223">
        <v>0.97</v>
      </c>
      <c r="L50" s="25">
        <v>8.9999999999999993E-3</v>
      </c>
      <c r="M50" s="33">
        <v>2.3E-2</v>
      </c>
      <c r="N50" s="221">
        <v>2.3E-2</v>
      </c>
      <c r="O50" s="20">
        <v>3.7999999999999999E-2</v>
      </c>
      <c r="P50" s="33">
        <v>2.4E-2</v>
      </c>
      <c r="Q50" s="234">
        <v>2.4E-2</v>
      </c>
      <c r="R50" s="25">
        <v>5.0000000000000001E-3</v>
      </c>
      <c r="S50" s="68">
        <v>5.0000000000000001E-3</v>
      </c>
      <c r="T50" s="241">
        <f t="shared" si="5"/>
        <v>24838877.146765247</v>
      </c>
      <c r="U50" s="147">
        <f t="shared" si="6"/>
        <v>22860846.460142959</v>
      </c>
      <c r="V50" s="31">
        <f t="shared" si="18"/>
        <v>3.1023784901755488E-3</v>
      </c>
      <c r="W50" s="13" t="s">
        <v>38</v>
      </c>
      <c r="X50" s="77">
        <f t="shared" si="14"/>
        <v>76821.269526071846</v>
      </c>
      <c r="Y50" s="78">
        <f t="shared" si="15"/>
        <v>3.1023784901755488E-3</v>
      </c>
      <c r="Z50" s="97">
        <f t="shared" si="16"/>
        <v>205441.77429734543</v>
      </c>
      <c r="AA50" s="79">
        <f t="shared" si="17"/>
        <v>8.339956290747897E-3</v>
      </c>
      <c r="AB50" s="90"/>
      <c r="AC50" s="158"/>
      <c r="AD50" s="90" t="s">
        <v>372</v>
      </c>
      <c r="AE50" s="90" t="s">
        <v>290</v>
      </c>
      <c r="AF50" s="230">
        <f t="shared" si="12"/>
        <v>0</v>
      </c>
      <c r="AG50" s="230">
        <f t="shared" si="13"/>
        <v>0</v>
      </c>
      <c r="AI50" s="241">
        <v>24633435.372467902</v>
      </c>
      <c r="AJ50" s="198" t="s">
        <v>385</v>
      </c>
    </row>
    <row r="51" spans="1:36" ht="14.15" hidden="1" customHeight="1" x14ac:dyDescent="0.35">
      <c r="A51" s="38" t="s">
        <v>125</v>
      </c>
      <c r="B51" s="180" t="s">
        <v>126</v>
      </c>
      <c r="C51" s="39">
        <v>28140069.307529707</v>
      </c>
      <c r="D51" s="39">
        <v>25958209.853461452</v>
      </c>
      <c r="E51" s="40" t="s">
        <v>27</v>
      </c>
      <c r="F51" s="22">
        <v>27242311.320820838</v>
      </c>
      <c r="G51" s="35">
        <v>25130060.144165099</v>
      </c>
      <c r="H51" s="237">
        <v>0.88</v>
      </c>
      <c r="I51" s="101">
        <v>0.88</v>
      </c>
      <c r="J51" s="124">
        <f>88%+2%</f>
        <v>0.9</v>
      </c>
      <c r="K51" s="223">
        <f>90%+0.015</f>
        <v>0.91500000000000004</v>
      </c>
      <c r="L51" s="25">
        <v>3.1E-2</v>
      </c>
      <c r="M51" s="31">
        <v>3.1E-2</v>
      </c>
      <c r="N51" s="221">
        <v>3.2599999999999997E-2</v>
      </c>
      <c r="O51" s="31">
        <v>0</v>
      </c>
      <c r="P51" s="31">
        <v>0</v>
      </c>
      <c r="Q51" s="233">
        <v>0</v>
      </c>
      <c r="R51" s="25">
        <f>0.5%+0.5%</f>
        <v>0.01</v>
      </c>
      <c r="S51" s="196">
        <v>1.4999999999999999E-2</v>
      </c>
      <c r="T51" s="241">
        <f t="shared" si="5"/>
        <v>28703226.749079108</v>
      </c>
      <c r="U51" s="147">
        <f t="shared" si="6"/>
        <v>26477702.498931449</v>
      </c>
      <c r="V51" s="31">
        <f t="shared" si="18"/>
        <v>2.0012652968083213E-2</v>
      </c>
      <c r="W51" s="13" t="s">
        <v>38</v>
      </c>
      <c r="X51" s="77">
        <f t="shared" si="14"/>
        <v>563157.44154940173</v>
      </c>
      <c r="Y51" s="78">
        <f t="shared" si="15"/>
        <v>2.0012652968083213E-2</v>
      </c>
      <c r="Z51" s="97">
        <f t="shared" si="16"/>
        <v>1460915.42825827</v>
      </c>
      <c r="AA51" s="79">
        <f t="shared" si="17"/>
        <v>5.3626706304531403E-2</v>
      </c>
      <c r="AB51" s="90"/>
      <c r="AC51" s="159" t="s">
        <v>292</v>
      </c>
      <c r="AD51" s="90" t="s">
        <v>367</v>
      </c>
      <c r="AE51" s="90" t="s">
        <v>291</v>
      </c>
      <c r="AF51" s="230">
        <f t="shared" si="12"/>
        <v>0</v>
      </c>
      <c r="AG51" s="230">
        <f t="shared" si="13"/>
        <v>0</v>
      </c>
      <c r="AI51" s="241">
        <v>27242311.320820838</v>
      </c>
      <c r="AJ51" s="198" t="s">
        <v>385</v>
      </c>
    </row>
    <row r="52" spans="1:36" ht="14.15" hidden="1" customHeight="1" x14ac:dyDescent="0.35">
      <c r="A52" s="38" t="s">
        <v>125</v>
      </c>
      <c r="B52" s="180" t="s">
        <v>127</v>
      </c>
      <c r="C52" s="39">
        <v>14299487.965197572</v>
      </c>
      <c r="D52" s="39">
        <v>13190767.419265823</v>
      </c>
      <c r="E52" s="40" t="s">
        <v>27</v>
      </c>
      <c r="F52" s="22">
        <v>13843288.679179167</v>
      </c>
      <c r="G52" s="35">
        <v>12769939.855834899</v>
      </c>
      <c r="H52" s="237">
        <v>0.88</v>
      </c>
      <c r="I52" s="101">
        <v>0.88</v>
      </c>
      <c r="J52" s="124">
        <f>88%+2%</f>
        <v>0.9</v>
      </c>
      <c r="K52" s="223">
        <f>90%+0.015</f>
        <v>0.91500000000000004</v>
      </c>
      <c r="L52" s="25">
        <v>3.1E-2</v>
      </c>
      <c r="M52" s="31">
        <v>3.1E-2</v>
      </c>
      <c r="N52" s="221">
        <v>3.2599999999999997E-2</v>
      </c>
      <c r="O52" s="31">
        <v>0</v>
      </c>
      <c r="P52" s="31">
        <v>0</v>
      </c>
      <c r="Q52" s="233">
        <v>0</v>
      </c>
      <c r="R52" s="25">
        <f>0.5%+0.5%</f>
        <v>0.01</v>
      </c>
      <c r="S52" s="196">
        <v>1.4999999999999999E-2</v>
      </c>
      <c r="T52" s="241">
        <f t="shared" si="5"/>
        <v>14585658.655466354</v>
      </c>
      <c r="U52" s="147">
        <f t="shared" si="6"/>
        <v>13454749.670010287</v>
      </c>
      <c r="V52" s="31">
        <f t="shared" si="18"/>
        <v>2.0012652968083189E-2</v>
      </c>
      <c r="W52" s="13" t="s">
        <v>38</v>
      </c>
      <c r="X52" s="77">
        <f t="shared" si="14"/>
        <v>286170.69026878104</v>
      </c>
      <c r="Y52" s="78">
        <f t="shared" si="15"/>
        <v>2.0012652968083189E-2</v>
      </c>
      <c r="Z52" s="97">
        <f t="shared" si="16"/>
        <v>742369.97628718615</v>
      </c>
      <c r="AA52" s="79">
        <f t="shared" si="17"/>
        <v>5.3626706304531438E-2</v>
      </c>
      <c r="AB52" s="90"/>
      <c r="AC52" s="159" t="s">
        <v>292</v>
      </c>
      <c r="AD52" s="90" t="s">
        <v>367</v>
      </c>
      <c r="AE52" s="90" t="s">
        <v>291</v>
      </c>
      <c r="AF52" s="230">
        <f t="shared" si="12"/>
        <v>0</v>
      </c>
      <c r="AG52" s="230">
        <f t="shared" si="13"/>
        <v>0</v>
      </c>
      <c r="AI52" s="241">
        <v>13843288.679179167</v>
      </c>
      <c r="AJ52" s="198" t="s">
        <v>385</v>
      </c>
    </row>
    <row r="53" spans="1:36" ht="14.15" hidden="1" customHeight="1" x14ac:dyDescent="0.35">
      <c r="A53" s="38" t="s">
        <v>128</v>
      </c>
      <c r="B53" s="179" t="s">
        <v>129</v>
      </c>
      <c r="C53" s="39">
        <v>18308033.039999999</v>
      </c>
      <c r="D53" s="39">
        <v>16897123.248730961</v>
      </c>
      <c r="E53" s="40" t="s">
        <v>27</v>
      </c>
      <c r="F53" s="22">
        <v>18419500</v>
      </c>
      <c r="G53" s="35">
        <v>17000000</v>
      </c>
      <c r="H53" s="237">
        <v>0.97</v>
      </c>
      <c r="I53" s="25">
        <v>0.97</v>
      </c>
      <c r="J53" s="123">
        <v>0.97</v>
      </c>
      <c r="K53" s="223">
        <f>97%-0.005</f>
        <v>0.96499999999999997</v>
      </c>
      <c r="L53" s="25">
        <v>0</v>
      </c>
      <c r="M53" s="31">
        <v>0</v>
      </c>
      <c r="N53" s="221">
        <v>0</v>
      </c>
      <c r="O53" s="20">
        <v>1.4999999999999999E-2</v>
      </c>
      <c r="P53" s="65">
        <v>2.6800000000000001E-2</v>
      </c>
      <c r="Q53" s="233">
        <v>1.4500000000000001E-2</v>
      </c>
      <c r="R53" s="25">
        <v>6.0000000000000001E-3</v>
      </c>
      <c r="S53" s="68">
        <v>6.0000000000000001E-3</v>
      </c>
      <c r="T53" s="241">
        <f t="shared" si="5"/>
        <v>18443859.06340206</v>
      </c>
      <c r="U53" s="147">
        <f t="shared" si="6"/>
        <v>17022481.830551051</v>
      </c>
      <c r="V53" s="31">
        <f t="shared" si="18"/>
        <v>7.4189304282608675E-3</v>
      </c>
      <c r="X53" s="77">
        <f t="shared" si="14"/>
        <v>135826.02340206131</v>
      </c>
      <c r="Y53" s="78">
        <f t="shared" si="15"/>
        <v>7.4189304282608675E-3</v>
      </c>
      <c r="Z53" s="97">
        <f t="shared" si="16"/>
        <v>24359.063402060419</v>
      </c>
      <c r="AA53" s="79">
        <f t="shared" si="17"/>
        <v>1.3224606206498775E-3</v>
      </c>
      <c r="AB53" s="90"/>
      <c r="AC53" s="158"/>
      <c r="AD53" s="90" t="s">
        <v>130</v>
      </c>
      <c r="AE53" s="90" t="s">
        <v>130</v>
      </c>
      <c r="AF53" s="230">
        <f t="shared" si="12"/>
        <v>0</v>
      </c>
      <c r="AG53" s="230">
        <f t="shared" si="13"/>
        <v>0</v>
      </c>
      <c r="AI53" s="241">
        <v>18419500</v>
      </c>
      <c r="AJ53" s="198" t="s">
        <v>385</v>
      </c>
    </row>
    <row r="54" spans="1:36" s="1" customFormat="1" ht="14.15" hidden="1" customHeight="1" x14ac:dyDescent="0.35">
      <c r="A54" s="38" t="s">
        <v>131</v>
      </c>
      <c r="B54" s="179" t="s">
        <v>132</v>
      </c>
      <c r="C54" s="39">
        <v>24622543.358395986</v>
      </c>
      <c r="D54" s="39">
        <v>22773419.548872177</v>
      </c>
      <c r="E54" s="40" t="s">
        <v>27</v>
      </c>
      <c r="F54" s="22">
        <v>25300000</v>
      </c>
      <c r="G54" s="35">
        <v>23400000</v>
      </c>
      <c r="H54" s="237">
        <v>0.97499999999999998</v>
      </c>
      <c r="I54" s="25">
        <v>0.97499999999999998</v>
      </c>
      <c r="J54" s="123">
        <v>0.97499999999999998</v>
      </c>
      <c r="K54" s="223">
        <v>0.97</v>
      </c>
      <c r="L54" s="25">
        <v>0</v>
      </c>
      <c r="M54" s="31">
        <v>0</v>
      </c>
      <c r="N54" s="221">
        <v>0</v>
      </c>
      <c r="O54" s="65">
        <v>2.5000000000000001E-3</v>
      </c>
      <c r="P54" s="65">
        <v>3.5000000000000003E-2</v>
      </c>
      <c r="Q54" s="220">
        <v>4.6199999999999998E-2</v>
      </c>
      <c r="R54" s="25">
        <v>6.0000000000000001E-3</v>
      </c>
      <c r="S54" s="68">
        <v>6.0000000000000001E-3</v>
      </c>
      <c r="T54" s="241">
        <f t="shared" si="5"/>
        <v>24211964.819536019</v>
      </c>
      <c r="U54" s="147">
        <f t="shared" si="6"/>
        <v>22393674.971428569</v>
      </c>
      <c r="V54" s="31">
        <f t="shared" si="18"/>
        <v>-1.6674903680084896E-2</v>
      </c>
      <c r="W54" s="13"/>
      <c r="X54" s="77">
        <f t="shared" si="14"/>
        <v>-410578.53885996714</v>
      </c>
      <c r="Y54" s="78">
        <f t="shared" si="15"/>
        <v>-1.6674903680084896E-2</v>
      </c>
      <c r="Z54" s="104">
        <f t="shared" si="16"/>
        <v>-1088035.1804639809</v>
      </c>
      <c r="AA54" s="80">
        <f t="shared" si="17"/>
        <v>-4.3005343101343116E-2</v>
      </c>
      <c r="AB54" s="90"/>
      <c r="AC54" s="158"/>
      <c r="AD54" s="90" t="s">
        <v>373</v>
      </c>
      <c r="AE54" s="90" t="s">
        <v>293</v>
      </c>
      <c r="AF54" s="230">
        <f t="shared" si="12"/>
        <v>0</v>
      </c>
      <c r="AG54" s="230">
        <f t="shared" si="13"/>
        <v>0</v>
      </c>
      <c r="AI54" s="241">
        <v>25300000</v>
      </c>
      <c r="AJ54" s="198" t="s">
        <v>385</v>
      </c>
    </row>
    <row r="55" spans="1:36" ht="14.15" hidden="1" customHeight="1" x14ac:dyDescent="0.35">
      <c r="A55" s="38" t="s">
        <v>133</v>
      </c>
      <c r="B55" s="179" t="s">
        <v>134</v>
      </c>
      <c r="C55" s="39">
        <v>29900000</v>
      </c>
      <c r="D55" s="39">
        <v>27300000</v>
      </c>
      <c r="E55" s="40" t="s">
        <v>27</v>
      </c>
      <c r="F55" s="22">
        <v>29900000</v>
      </c>
      <c r="G55" s="35">
        <v>27300000</v>
      </c>
      <c r="H55" s="237">
        <v>0.97499999999999998</v>
      </c>
      <c r="I55" s="25">
        <v>0.97499999999999998</v>
      </c>
      <c r="J55" s="123">
        <v>0.97499999999999998</v>
      </c>
      <c r="K55" s="96">
        <v>0.97499999999999998</v>
      </c>
      <c r="L55" s="25">
        <v>0</v>
      </c>
      <c r="M55" s="31">
        <v>0</v>
      </c>
      <c r="N55" s="221">
        <v>0</v>
      </c>
      <c r="O55" s="20">
        <v>4.0000000000000001E-3</v>
      </c>
      <c r="P55" s="31">
        <v>4.0000000000000001E-3</v>
      </c>
      <c r="Q55" s="234">
        <v>5.0000000000000001E-4</v>
      </c>
      <c r="R55" s="25">
        <v>0</v>
      </c>
      <c r="S55" s="196">
        <v>0</v>
      </c>
      <c r="T55" s="241">
        <f t="shared" si="5"/>
        <v>30005070.281124499</v>
      </c>
      <c r="U55" s="147">
        <f t="shared" si="6"/>
        <v>27395933.734939761</v>
      </c>
      <c r="V55" s="31">
        <f t="shared" si="18"/>
        <v>3.5140562248996217E-3</v>
      </c>
      <c r="X55" s="77">
        <f t="shared" si="14"/>
        <v>105070.2811244987</v>
      </c>
      <c r="Y55" s="78">
        <f t="shared" si="15"/>
        <v>3.5140562248996217E-3</v>
      </c>
      <c r="Z55" s="97">
        <f t="shared" si="16"/>
        <v>105070.2811244987</v>
      </c>
      <c r="AA55" s="79">
        <f t="shared" si="17"/>
        <v>3.5140562248996217E-3</v>
      </c>
      <c r="AB55" s="90"/>
      <c r="AC55" s="158"/>
      <c r="AD55" s="90"/>
      <c r="AE55" s="90" t="s">
        <v>135</v>
      </c>
      <c r="AF55" s="230">
        <f t="shared" si="12"/>
        <v>0</v>
      </c>
      <c r="AG55" s="230">
        <f t="shared" si="13"/>
        <v>0</v>
      </c>
      <c r="AI55" s="241">
        <v>29900000</v>
      </c>
      <c r="AJ55" s="198" t="s">
        <v>339</v>
      </c>
    </row>
    <row r="56" spans="1:36" ht="14.15" hidden="1" customHeight="1" x14ac:dyDescent="0.35">
      <c r="A56" s="38" t="s">
        <v>136</v>
      </c>
      <c r="B56" s="179" t="s">
        <v>137</v>
      </c>
      <c r="C56" s="39">
        <v>26089718.835833181</v>
      </c>
      <c r="D56" s="39">
        <v>24260506.419309769</v>
      </c>
      <c r="E56" s="40" t="s">
        <v>27</v>
      </c>
      <c r="F56" s="22">
        <v>26407240.768926486</v>
      </c>
      <c r="G56" s="35">
        <v>24555766.132323679</v>
      </c>
      <c r="H56" s="237">
        <v>0.96799999999999997</v>
      </c>
      <c r="I56" s="25">
        <v>0.96799999999999997</v>
      </c>
      <c r="J56" s="123">
        <v>0.96799999999999997</v>
      </c>
      <c r="K56" s="96">
        <v>0.96799999999999997</v>
      </c>
      <c r="L56" s="25">
        <v>0</v>
      </c>
      <c r="M56" s="31">
        <v>0</v>
      </c>
      <c r="N56" s="221">
        <v>2.8000000000000001E-2</v>
      </c>
      <c r="O56" s="20">
        <v>2E-3</v>
      </c>
      <c r="P56" s="33">
        <v>1.4E-2</v>
      </c>
      <c r="Q56" s="234">
        <v>1.4E-2</v>
      </c>
      <c r="R56" s="25">
        <v>0</v>
      </c>
      <c r="S56" s="196">
        <v>0</v>
      </c>
      <c r="T56" s="241">
        <f t="shared" si="5"/>
        <v>25359206.708429851</v>
      </c>
      <c r="U56" s="147">
        <f t="shared" si="6"/>
        <v>23581212.239569094</v>
      </c>
      <c r="V56" s="31">
        <f t="shared" si="18"/>
        <v>-2.8000000000000039E-2</v>
      </c>
      <c r="W56" s="13" t="s">
        <v>38</v>
      </c>
      <c r="X56" s="77">
        <f t="shared" si="14"/>
        <v>-730512.12740333006</v>
      </c>
      <c r="Y56" s="78">
        <f t="shared" si="15"/>
        <v>-2.8000000000000039E-2</v>
      </c>
      <c r="Z56" s="97">
        <f t="shared" si="16"/>
        <v>-1048034.0604966357</v>
      </c>
      <c r="AA56" s="79">
        <f t="shared" si="17"/>
        <v>-3.9687374749499078E-2</v>
      </c>
      <c r="AB56" s="90"/>
      <c r="AC56" s="158"/>
      <c r="AD56" s="90"/>
      <c r="AE56" s="90" t="s">
        <v>294</v>
      </c>
      <c r="AF56" s="230">
        <f t="shared" si="12"/>
        <v>0</v>
      </c>
      <c r="AG56" s="230">
        <f t="shared" si="13"/>
        <v>0</v>
      </c>
      <c r="AI56" s="241">
        <v>26407240.768926486</v>
      </c>
      <c r="AJ56" s="198" t="s">
        <v>339</v>
      </c>
    </row>
    <row r="57" spans="1:36" ht="14.15" hidden="1" customHeight="1" x14ac:dyDescent="0.35">
      <c r="A57" s="38" t="s">
        <v>136</v>
      </c>
      <c r="B57" s="179" t="s">
        <v>138</v>
      </c>
      <c r="C57" s="39">
        <v>8546742.0860105045</v>
      </c>
      <c r="D57" s="39">
        <v>7947509.6127543608</v>
      </c>
      <c r="E57" s="40" t="s">
        <v>27</v>
      </c>
      <c r="F57" s="22">
        <v>8650759.2310735118</v>
      </c>
      <c r="G57" s="35">
        <v>8044233.8676763214</v>
      </c>
      <c r="H57" s="237">
        <v>0.96799999999999997</v>
      </c>
      <c r="I57" s="25">
        <v>0.96799999999999997</v>
      </c>
      <c r="J57" s="123">
        <v>0.96799999999999997</v>
      </c>
      <c r="K57" s="96">
        <v>0.96799999999999997</v>
      </c>
      <c r="L57" s="25">
        <v>0</v>
      </c>
      <c r="M57" s="31">
        <v>0</v>
      </c>
      <c r="N57" s="221">
        <v>2.8000000000000001E-2</v>
      </c>
      <c r="O57" s="20">
        <v>2E-3</v>
      </c>
      <c r="P57" s="33">
        <v>1.4E-2</v>
      </c>
      <c r="Q57" s="234">
        <v>1.4E-2</v>
      </c>
      <c r="R57" s="25">
        <v>0</v>
      </c>
      <c r="S57" s="196">
        <v>0</v>
      </c>
      <c r="T57" s="241">
        <f t="shared" si="5"/>
        <v>8307433.307602209</v>
      </c>
      <c r="U57" s="147">
        <f t="shared" si="6"/>
        <v>7724979.3435972389</v>
      </c>
      <c r="V57" s="31">
        <f t="shared" si="18"/>
        <v>-2.8000000000000157E-2</v>
      </c>
      <c r="W57" s="13" t="s">
        <v>38</v>
      </c>
      <c r="X57" s="77">
        <f t="shared" si="14"/>
        <v>-239308.77840829547</v>
      </c>
      <c r="Y57" s="78">
        <f t="shared" si="15"/>
        <v>-2.8000000000000157E-2</v>
      </c>
      <c r="Z57" s="97">
        <f t="shared" si="16"/>
        <v>-343325.92347130273</v>
      </c>
      <c r="AA57" s="79">
        <f t="shared" si="17"/>
        <v>-3.9687374749499051E-2</v>
      </c>
      <c r="AB57" s="90"/>
      <c r="AC57" s="158"/>
      <c r="AD57" s="90"/>
      <c r="AE57" s="90" t="s">
        <v>295</v>
      </c>
      <c r="AF57" s="230">
        <f t="shared" si="12"/>
        <v>0</v>
      </c>
      <c r="AG57" s="230">
        <f t="shared" si="13"/>
        <v>0</v>
      </c>
      <c r="AI57" s="241">
        <v>8650759.2310735118</v>
      </c>
      <c r="AJ57" s="198" t="s">
        <v>339</v>
      </c>
    </row>
    <row r="58" spans="1:36" ht="14.15" hidden="1" customHeight="1" x14ac:dyDescent="0.35">
      <c r="A58" s="38" t="s">
        <v>139</v>
      </c>
      <c r="B58" s="179" t="s">
        <v>140</v>
      </c>
      <c r="C58" s="39">
        <v>29020801.999999996</v>
      </c>
      <c r="D58" s="39">
        <v>26479199.999999996</v>
      </c>
      <c r="E58" s="40" t="s">
        <v>141</v>
      </c>
      <c r="F58" s="22">
        <v>28934000</v>
      </c>
      <c r="G58" s="35">
        <v>26400000</v>
      </c>
      <c r="H58" s="237">
        <v>0.97199999999999998</v>
      </c>
      <c r="I58" s="25">
        <v>0.97199999999999998</v>
      </c>
      <c r="J58" s="123">
        <v>0.97199999999999998</v>
      </c>
      <c r="K58" s="96">
        <v>0.97199999999999998</v>
      </c>
      <c r="L58" s="25">
        <v>0</v>
      </c>
      <c r="M58" s="31">
        <v>0</v>
      </c>
      <c r="N58" s="221">
        <v>0</v>
      </c>
      <c r="O58" s="20">
        <v>0</v>
      </c>
      <c r="P58" s="31">
        <v>0</v>
      </c>
      <c r="Q58" s="217">
        <v>0</v>
      </c>
      <c r="R58" s="25">
        <v>3.0000000000000001E-3</v>
      </c>
      <c r="S58" s="68">
        <v>3.0000000000000001E-3</v>
      </c>
      <c r="T58" s="241">
        <f t="shared" si="5"/>
        <v>29020801.999999996</v>
      </c>
      <c r="U58" s="147">
        <f t="shared" si="6"/>
        <v>26479199.999999996</v>
      </c>
      <c r="V58" s="31">
        <f t="shared" si="18"/>
        <v>0</v>
      </c>
      <c r="X58" s="77">
        <f t="shared" si="14"/>
        <v>0</v>
      </c>
      <c r="Y58" s="78">
        <f t="shared" si="15"/>
        <v>0</v>
      </c>
      <c r="Z58" s="97">
        <f t="shared" si="16"/>
        <v>86801.999999996275</v>
      </c>
      <c r="AA58" s="79">
        <f t="shared" si="17"/>
        <v>2.9999999999998713E-3</v>
      </c>
      <c r="AB58" s="90"/>
      <c r="AC58" s="158"/>
      <c r="AD58" s="90" t="s">
        <v>374</v>
      </c>
      <c r="AE58" s="90" t="s">
        <v>296</v>
      </c>
      <c r="AF58" s="230">
        <f t="shared" si="12"/>
        <v>0</v>
      </c>
      <c r="AG58" s="230">
        <f t="shared" si="13"/>
        <v>0</v>
      </c>
      <c r="AI58" s="241">
        <v>28934000</v>
      </c>
      <c r="AJ58" s="198" t="s">
        <v>385</v>
      </c>
    </row>
    <row r="59" spans="1:36" ht="14.15" hidden="1" customHeight="1" x14ac:dyDescent="0.35">
      <c r="A59" s="38" t="s">
        <v>142</v>
      </c>
      <c r="B59" s="179" t="s">
        <v>143</v>
      </c>
      <c r="C59" s="39">
        <v>33358917.697625112</v>
      </c>
      <c r="D59" s="39">
        <v>30362607.724784527</v>
      </c>
      <c r="E59" s="40" t="s">
        <v>340</v>
      </c>
      <c r="F59" s="22">
        <v>32270654.144821849</v>
      </c>
      <c r="G59" s="35">
        <v>29933711.167607121</v>
      </c>
      <c r="H59" s="237">
        <v>0.97799999999999998</v>
      </c>
      <c r="I59" s="101">
        <v>0.97499999999999998</v>
      </c>
      <c r="J59" s="124">
        <f>97.5%+1%</f>
        <v>0.98499999999999999</v>
      </c>
      <c r="K59" s="124">
        <f>97.5%+1%</f>
        <v>0.98499999999999999</v>
      </c>
      <c r="L59" s="25">
        <f>100%-97.8%</f>
        <v>2.200000000000002E-2</v>
      </c>
      <c r="M59" s="31">
        <v>2.8000000000000001E-2</v>
      </c>
      <c r="N59" s="216">
        <v>2.8000000000000001E-2</v>
      </c>
      <c r="O59" s="20">
        <v>0</v>
      </c>
      <c r="P59" s="122">
        <v>0.01</v>
      </c>
      <c r="Q59" s="217">
        <v>0</v>
      </c>
      <c r="R59" s="34">
        <v>7.4999999999999997E-3</v>
      </c>
      <c r="S59" s="202">
        <v>6.0000000000000001E-3</v>
      </c>
      <c r="T59" s="241">
        <f t="shared" si="5"/>
        <v>32496047.094863426</v>
      </c>
      <c r="U59" s="147">
        <f>G59/I59*K59/(1-L59)*(1-N59)/(1-O59)*(1-Q59)*(1+S59)</f>
        <v>30235528.864314355</v>
      </c>
      <c r="V59" s="31">
        <f t="shared" si="18"/>
        <v>-2.5866264924509687E-2</v>
      </c>
      <c r="X59" s="77">
        <f t="shared" si="14"/>
        <v>-862870.60276168585</v>
      </c>
      <c r="Y59" s="78">
        <f t="shared" si="15"/>
        <v>-2.5866264924509687E-2</v>
      </c>
      <c r="Z59" s="97">
        <f t="shared" si="16"/>
        <v>225392.95004157722</v>
      </c>
      <c r="AA59" s="79">
        <f t="shared" si="17"/>
        <v>6.9844555685197908E-3</v>
      </c>
      <c r="AB59" s="90"/>
      <c r="AC59" s="159" t="s">
        <v>297</v>
      </c>
      <c r="AD59" s="90" t="s">
        <v>351</v>
      </c>
      <c r="AE59" s="90" t="s">
        <v>144</v>
      </c>
      <c r="AF59" s="230">
        <f t="shared" si="12"/>
        <v>2.5869974120087404E-4</v>
      </c>
      <c r="AG59" s="230">
        <f t="shared" si="13"/>
        <v>834840.98756483197</v>
      </c>
      <c r="AH59" s="81" t="s">
        <v>378</v>
      </c>
      <c r="AI59" s="241">
        <v>33105495.132386681</v>
      </c>
      <c r="AJ59" s="198" t="s">
        <v>348</v>
      </c>
    </row>
    <row r="60" spans="1:36" ht="14.15" hidden="1" customHeight="1" x14ac:dyDescent="0.35">
      <c r="A60" s="38" t="s">
        <v>142</v>
      </c>
      <c r="B60" s="179" t="s">
        <v>145</v>
      </c>
      <c r="C60" s="39">
        <v>33952436.302374907</v>
      </c>
      <c r="D60" s="39">
        <v>30902816.27521548</v>
      </c>
      <c r="E60" s="40" t="s">
        <v>340</v>
      </c>
      <c r="F60" s="22">
        <v>32844810.470755693</v>
      </c>
      <c r="G60" s="35">
        <v>30466288.832392879</v>
      </c>
      <c r="H60" s="237">
        <v>0.97799999999999998</v>
      </c>
      <c r="I60" s="101">
        <v>0.97499999999999998</v>
      </c>
      <c r="J60" s="124">
        <f>97.5%+1%</f>
        <v>0.98499999999999999</v>
      </c>
      <c r="K60" s="124">
        <f>97.5%+1%</f>
        <v>0.98499999999999999</v>
      </c>
      <c r="L60" s="25">
        <f>100%-97.8%</f>
        <v>2.200000000000002E-2</v>
      </c>
      <c r="M60" s="31">
        <v>2.8000000000000001E-2</v>
      </c>
      <c r="N60" s="216">
        <v>2.8000000000000001E-2</v>
      </c>
      <c r="O60" s="20">
        <v>0</v>
      </c>
      <c r="P60" s="122">
        <v>0.01</v>
      </c>
      <c r="Q60" s="217">
        <v>0</v>
      </c>
      <c r="R60" s="34">
        <v>7.4999999999999997E-3</v>
      </c>
      <c r="S60" s="202">
        <v>6.0000000000000001E-3</v>
      </c>
      <c r="T60" s="241">
        <f t="shared" si="5"/>
        <v>33074213.59014513</v>
      </c>
      <c r="U60" s="147">
        <f t="shared" si="6"/>
        <v>30773476.440074511</v>
      </c>
      <c r="V60" s="31">
        <f t="shared" si="18"/>
        <v>-2.5866264924509913E-2</v>
      </c>
      <c r="X60" s="77">
        <f t="shared" si="14"/>
        <v>-878222.71222977713</v>
      </c>
      <c r="Y60" s="78">
        <f t="shared" si="15"/>
        <v>-2.5866264924509913E-2</v>
      </c>
      <c r="Z60" s="97">
        <f t="shared" si="16"/>
        <v>229403.11938943714</v>
      </c>
      <c r="AA60" s="79">
        <f t="shared" si="17"/>
        <v>6.9844555685194985E-3</v>
      </c>
      <c r="AB60" s="90"/>
      <c r="AC60" s="159" t="s">
        <v>297</v>
      </c>
      <c r="AD60" s="90" t="s">
        <v>351</v>
      </c>
      <c r="AE60" s="90" t="s">
        <v>144</v>
      </c>
      <c r="AF60" s="230">
        <f t="shared" si="12"/>
        <v>2.5869974120087627E-4</v>
      </c>
      <c r="AG60" s="230">
        <f t="shared" si="13"/>
        <v>849694.39685763046</v>
      </c>
      <c r="AH60" s="81" t="s">
        <v>378</v>
      </c>
      <c r="AI60" s="241">
        <v>33694504.867613323</v>
      </c>
      <c r="AJ60" s="198" t="s">
        <v>348</v>
      </c>
    </row>
    <row r="61" spans="1:36" ht="14.15" hidden="1" customHeight="1" x14ac:dyDescent="0.35">
      <c r="A61" s="38" t="s">
        <v>146</v>
      </c>
      <c r="B61" s="179" t="s">
        <v>147</v>
      </c>
      <c r="C61" s="39">
        <v>35511231.009328827</v>
      </c>
      <c r="D61" s="39">
        <v>32134993.026407555</v>
      </c>
      <c r="E61" s="40" t="s">
        <v>340</v>
      </c>
      <c r="F61" s="22">
        <v>33922209.257913999</v>
      </c>
      <c r="G61" s="35">
        <v>31933583.768634632</v>
      </c>
      <c r="H61" s="237">
        <v>0.973608356780577</v>
      </c>
      <c r="I61" s="25">
        <v>0.97799999999999998</v>
      </c>
      <c r="J61" s="123">
        <v>0.97799999999999998</v>
      </c>
      <c r="K61" s="224">
        <f>97.5%+0.7%</f>
        <v>0.98199999999999998</v>
      </c>
      <c r="L61" s="25">
        <v>0</v>
      </c>
      <c r="M61" s="31">
        <v>0</v>
      </c>
      <c r="N61" s="203">
        <v>0</v>
      </c>
      <c r="O61" s="20">
        <v>0</v>
      </c>
      <c r="P61" s="31">
        <v>0</v>
      </c>
      <c r="Q61" s="211">
        <v>0</v>
      </c>
      <c r="R61" s="25">
        <v>0.01</v>
      </c>
      <c r="S61" s="205">
        <f>((40-17)/40*0.005+(40-5)/40*0.005)*F61/AI61</f>
        <v>6.9948399486861393E-3</v>
      </c>
      <c r="T61" s="241">
        <f t="shared" si="5"/>
        <v>34453914.281321339</v>
      </c>
      <c r="U61" s="147">
        <f t="shared" si="6"/>
        <v>32288475.360648956</v>
      </c>
      <c r="V61" s="31">
        <f t="shared" si="18"/>
        <v>-2.9774150260511386E-2</v>
      </c>
      <c r="X61" s="77">
        <f t="shared" si="14"/>
        <v>-1057316.728007488</v>
      </c>
      <c r="Y61" s="78">
        <f t="shared" si="15"/>
        <v>-2.9774150260511386E-2</v>
      </c>
      <c r="Z61" s="97">
        <f t="shared" si="16"/>
        <v>531705.02340734005</v>
      </c>
      <c r="AA61" s="79">
        <f t="shared" si="17"/>
        <v>1.5674245134352331E-2</v>
      </c>
      <c r="AB61" s="90"/>
      <c r="AC61" s="158"/>
      <c r="AD61" s="206" t="s">
        <v>353</v>
      </c>
      <c r="AE61" s="90" t="s">
        <v>298</v>
      </c>
      <c r="AF61" s="230">
        <f t="shared" si="12"/>
        <v>3.6478325906769138E-4</v>
      </c>
      <c r="AG61" s="230">
        <f t="shared" si="13"/>
        <v>1237425.4047878087</v>
      </c>
      <c r="AH61" s="81" t="s">
        <v>378</v>
      </c>
      <c r="AI61" s="241">
        <v>35159634.662701808</v>
      </c>
      <c r="AJ61" s="198" t="s">
        <v>386</v>
      </c>
    </row>
    <row r="62" spans="1:36" ht="14.15" hidden="1" customHeight="1" x14ac:dyDescent="0.35">
      <c r="A62" s="38" t="s">
        <v>146</v>
      </c>
      <c r="B62" s="179" t="s">
        <v>149</v>
      </c>
      <c r="C62" s="39">
        <v>25492493.548032247</v>
      </c>
      <c r="D62" s="39">
        <v>23068789.200142097</v>
      </c>
      <c r="E62" s="40" t="s">
        <v>340</v>
      </c>
      <c r="F62" s="22">
        <v>24184167.397199284</v>
      </c>
      <c r="G62" s="35">
        <v>22766416.231365371</v>
      </c>
      <c r="H62" s="237">
        <v>0.973608356780577</v>
      </c>
      <c r="I62" s="25">
        <v>0.97799999999999998</v>
      </c>
      <c r="J62" s="123">
        <v>0.97799999999999998</v>
      </c>
      <c r="K62" s="224">
        <f>97.5%+0.7%</f>
        <v>0.98199999999999998</v>
      </c>
      <c r="L62" s="25">
        <v>0</v>
      </c>
      <c r="M62" s="31">
        <v>0</v>
      </c>
      <c r="N62" s="203">
        <v>0</v>
      </c>
      <c r="O62" s="20">
        <v>0</v>
      </c>
      <c r="P62" s="31">
        <v>0</v>
      </c>
      <c r="Q62" s="211">
        <v>0</v>
      </c>
      <c r="R62" s="25">
        <f>0.5%+1.2%</f>
        <v>1.7000000000000001E-2</v>
      </c>
      <c r="S62" s="205">
        <f>((40-17)/40*0.005+(40-5)/40*0.012)*F62/AI62</f>
        <v>1.2904273698438221E-2</v>
      </c>
      <c r="T62" s="241">
        <f t="shared" si="5"/>
        <v>24707382.499037698</v>
      </c>
      <c r="U62" s="147">
        <f t="shared" si="6"/>
        <v>23154516.045185704</v>
      </c>
      <c r="V62" s="31">
        <f t="shared" si="18"/>
        <v>-3.0797734537630232E-2</v>
      </c>
      <c r="X62" s="77">
        <f t="shared" si="14"/>
        <v>-785111.04899454862</v>
      </c>
      <c r="Y62" s="78">
        <f t="shared" si="15"/>
        <v>-3.0797734537630232E-2</v>
      </c>
      <c r="Z62" s="97">
        <f t="shared" si="16"/>
        <v>523215.10183841363</v>
      </c>
      <c r="AA62" s="79">
        <f t="shared" si="17"/>
        <v>2.1634612978200192E-2</v>
      </c>
      <c r="AB62" s="90"/>
      <c r="AC62" s="158"/>
      <c r="AD62" s="206" t="s">
        <v>355</v>
      </c>
      <c r="AE62" s="90" t="s">
        <v>299</v>
      </c>
      <c r="AF62" s="230">
        <f t="shared" si="12"/>
        <v>3.6478325906769138E-4</v>
      </c>
      <c r="AG62" s="230">
        <f t="shared" si="13"/>
        <v>882197.94009889662</v>
      </c>
      <c r="AH62" s="81" t="s">
        <v>378</v>
      </c>
      <c r="AI62" s="241">
        <v>25066365.337298181</v>
      </c>
      <c r="AJ62" s="198" t="s">
        <v>386</v>
      </c>
    </row>
    <row r="63" spans="1:36" ht="14.15" hidden="1" customHeight="1" x14ac:dyDescent="0.35">
      <c r="A63" s="38" t="s">
        <v>150</v>
      </c>
      <c r="B63" s="179" t="s">
        <v>151</v>
      </c>
      <c r="C63" s="39">
        <v>73144888</v>
      </c>
      <c r="D63" s="39">
        <v>66141600</v>
      </c>
      <c r="E63" s="40" t="s">
        <v>340</v>
      </c>
      <c r="F63" s="22">
        <v>73535134.61767377</v>
      </c>
      <c r="G63" s="35">
        <v>68200000</v>
      </c>
      <c r="H63" s="237">
        <v>0.96089319733022505</v>
      </c>
      <c r="I63" s="25">
        <v>0.97</v>
      </c>
      <c r="J63" s="123">
        <v>0.97</v>
      </c>
      <c r="K63" s="224">
        <v>0.97199999999999998</v>
      </c>
      <c r="L63" s="25">
        <f>100%-99.36%</f>
        <v>6.3999999999999613E-3</v>
      </c>
      <c r="M63" s="31">
        <v>5.0000000000000001E-3</v>
      </c>
      <c r="N63" s="216">
        <v>6.4000000000000003E-3</v>
      </c>
      <c r="O63" s="20">
        <v>0</v>
      </c>
      <c r="P63" s="31">
        <v>0</v>
      </c>
      <c r="Q63" s="211">
        <v>0</v>
      </c>
      <c r="R63" s="146">
        <f>0.5%+0.1%+1%</f>
        <v>1.6E-2</v>
      </c>
      <c r="S63" s="205">
        <f>((39-17)/39*0.005+(39-5)/39*0.01)*F63/AI63</f>
        <v>1.1785622525962531E-2</v>
      </c>
      <c r="T63" s="241">
        <f t="shared" si="5"/>
        <v>75261789.741897106</v>
      </c>
      <c r="U63" s="147">
        <f t="shared" si="6"/>
        <v>69146055.290201098</v>
      </c>
      <c r="V63" s="31">
        <f t="shared" si="18"/>
        <v>2.8941212431648076E-2</v>
      </c>
      <c r="X63" s="77">
        <f t="shared" si="14"/>
        <v>2116901.7418971062</v>
      </c>
      <c r="Y63" s="78">
        <f t="shared" si="15"/>
        <v>2.8941212431648076E-2</v>
      </c>
      <c r="Z63" s="97">
        <f t="shared" si="16"/>
        <v>1726655.1242233366</v>
      </c>
      <c r="AA63" s="79">
        <f t="shared" si="17"/>
        <v>2.3480682169151078E-2</v>
      </c>
      <c r="AB63" s="90"/>
      <c r="AC63" s="158"/>
      <c r="AD63" s="206" t="s">
        <v>354</v>
      </c>
      <c r="AE63" s="90" t="s">
        <v>300</v>
      </c>
      <c r="AF63" s="230">
        <f t="shared" si="12"/>
        <v>-2.0971398579627042E-4</v>
      </c>
      <c r="AG63" s="230">
        <f t="shared" si="13"/>
        <v>-1542134.6176737696</v>
      </c>
      <c r="AH63" s="81" t="s">
        <v>378</v>
      </c>
      <c r="AI63" s="241">
        <v>71993000</v>
      </c>
      <c r="AJ63" s="198" t="s">
        <v>386</v>
      </c>
    </row>
    <row r="64" spans="1:36" ht="14.15" hidden="1" customHeight="1" x14ac:dyDescent="0.35">
      <c r="A64" s="38" t="s">
        <v>153</v>
      </c>
      <c r="B64" s="179" t="s">
        <v>154</v>
      </c>
      <c r="C64" s="39">
        <v>94828080</v>
      </c>
      <c r="D64" s="39">
        <v>79648029.898558453</v>
      </c>
      <c r="E64" s="40" t="s">
        <v>340</v>
      </c>
      <c r="F64" s="22">
        <v>74041887.378052622</v>
      </c>
      <c r="G64" s="35">
        <v>67000000</v>
      </c>
      <c r="H64" s="237">
        <f>96.9704686246714%</f>
        <v>0.96970468624671402</v>
      </c>
      <c r="I64" s="25">
        <v>0.97</v>
      </c>
      <c r="J64" s="123">
        <v>0.97</v>
      </c>
      <c r="K64" s="124">
        <v>0.97499999999999998</v>
      </c>
      <c r="L64" s="269">
        <v>0.03</v>
      </c>
      <c r="M64" s="33">
        <v>3.6299999999999999E-2</v>
      </c>
      <c r="N64" s="212">
        <v>0.03</v>
      </c>
      <c r="O64" s="20">
        <v>0</v>
      </c>
      <c r="P64" s="31">
        <v>0</v>
      </c>
      <c r="Q64" s="211">
        <v>0</v>
      </c>
      <c r="R64" s="25">
        <v>0</v>
      </c>
      <c r="S64" s="196">
        <v>0</v>
      </c>
      <c r="T64" s="241">
        <f t="shared" si="5"/>
        <v>74446211.529635102</v>
      </c>
      <c r="U64" s="147">
        <f t="shared" si="6"/>
        <v>67345360.824742258</v>
      </c>
      <c r="V64" s="31">
        <f t="shared" si="18"/>
        <v>-0.21493494828077189</v>
      </c>
      <c r="X64" s="77">
        <f t="shared" si="14"/>
        <v>-20381868.470364898</v>
      </c>
      <c r="Y64" s="78">
        <f t="shared" si="15"/>
        <v>-0.21493494828077189</v>
      </c>
      <c r="Z64" s="97">
        <f t="shared" si="16"/>
        <v>404324.15158247948</v>
      </c>
      <c r="AA64" s="79">
        <f t="shared" si="17"/>
        <v>5.4607488531191687E-3</v>
      </c>
      <c r="AB64" s="90"/>
      <c r="AC64" s="158"/>
      <c r="AD64" s="90"/>
      <c r="AE64" s="90" t="s">
        <v>301</v>
      </c>
      <c r="AF64" s="230">
        <f t="shared" si="12"/>
        <v>2.4458739860966096E-3</v>
      </c>
      <c r="AG64" s="230">
        <f t="shared" si="13"/>
        <v>18109712.621947378</v>
      </c>
      <c r="AH64" s="81" t="s">
        <v>379</v>
      </c>
      <c r="AI64" s="241">
        <v>92151600</v>
      </c>
      <c r="AJ64" s="198" t="s">
        <v>348</v>
      </c>
    </row>
    <row r="65" spans="1:36" ht="14.15" hidden="1" customHeight="1" x14ac:dyDescent="0.35">
      <c r="A65" s="38" t="s">
        <v>156</v>
      </c>
      <c r="B65" s="179" t="s">
        <v>157</v>
      </c>
      <c r="C65" s="39">
        <v>61885176</v>
      </c>
      <c r="D65" s="39">
        <v>52824578.557663046</v>
      </c>
      <c r="E65" s="40" t="s">
        <v>340</v>
      </c>
      <c r="F65" s="22">
        <v>51422455.955834128</v>
      </c>
      <c r="G65" s="35">
        <v>47100000</v>
      </c>
      <c r="H65" s="237">
        <f>9614.92649632205%/100</f>
        <v>0.96149264963220504</v>
      </c>
      <c r="I65" s="25">
        <v>0.97</v>
      </c>
      <c r="J65" s="123">
        <v>0.97</v>
      </c>
      <c r="K65" s="124">
        <v>0.97499999999999998</v>
      </c>
      <c r="L65" s="269">
        <v>4.2000000000000003E-2</v>
      </c>
      <c r="M65" s="46">
        <v>6.7500000000000004E-2</v>
      </c>
      <c r="N65" s="212">
        <v>4.2000000000000003E-2</v>
      </c>
      <c r="O65" s="20">
        <v>2E-3</v>
      </c>
      <c r="P65" s="31">
        <v>8.0000000000000002E-3</v>
      </c>
      <c r="Q65" s="205">
        <v>2E-3</v>
      </c>
      <c r="R65" s="25">
        <v>0</v>
      </c>
      <c r="S65" s="196">
        <v>0</v>
      </c>
      <c r="T65" s="241">
        <f t="shared" si="5"/>
        <v>52144854.748621203</v>
      </c>
      <c r="U65" s="147">
        <f t="shared" si="6"/>
        <v>47342783.505154639</v>
      </c>
      <c r="V65" s="31">
        <f t="shared" si="18"/>
        <v>-0.15739344833371399</v>
      </c>
      <c r="X65" s="77">
        <f t="shared" si="14"/>
        <v>-9740321.251378797</v>
      </c>
      <c r="Y65" s="78">
        <f t="shared" si="15"/>
        <v>-0.15739344833371399</v>
      </c>
      <c r="Z65" s="104">
        <f t="shared" si="16"/>
        <v>722398.79278707504</v>
      </c>
      <c r="AA65" s="80">
        <f t="shared" si="17"/>
        <v>1.4048313705738424E-2</v>
      </c>
      <c r="AB65" s="91"/>
      <c r="AC65" s="164"/>
      <c r="AD65" s="91"/>
      <c r="AE65" s="91" t="s">
        <v>302</v>
      </c>
      <c r="AF65" s="230">
        <f t="shared" si="12"/>
        <v>2.8264410507053751E-3</v>
      </c>
      <c r="AG65" s="230">
        <f t="shared" si="13"/>
        <v>14534254.044165872</v>
      </c>
      <c r="AH65" s="81" t="s">
        <v>379</v>
      </c>
      <c r="AI65" s="241">
        <v>65956710</v>
      </c>
      <c r="AJ65" s="198" t="s">
        <v>348</v>
      </c>
    </row>
    <row r="66" spans="1:36" ht="14.15" hidden="1" customHeight="1" x14ac:dyDescent="0.35">
      <c r="A66" s="38" t="s">
        <v>159</v>
      </c>
      <c r="B66" s="179" t="s">
        <v>160</v>
      </c>
      <c r="C66" s="39">
        <v>29879478.951724134</v>
      </c>
      <c r="D66" s="39">
        <v>26756188.468965512</v>
      </c>
      <c r="E66" s="40" t="s">
        <v>340</v>
      </c>
      <c r="F66" s="22">
        <v>27140977.817986138</v>
      </c>
      <c r="G66" s="35">
        <v>24200000</v>
      </c>
      <c r="H66" s="237">
        <f>97.086716359394/100</f>
        <v>0.97086716359393999</v>
      </c>
      <c r="I66" s="25">
        <v>0.96699999999999997</v>
      </c>
      <c r="J66" s="123">
        <v>0.96699999999999997</v>
      </c>
      <c r="K66" s="124">
        <v>0.98</v>
      </c>
      <c r="L66" s="25">
        <f>100%-97.7010331518982%</f>
        <v>2.2989668481018022E-2</v>
      </c>
      <c r="M66" s="46">
        <v>6.1199999999999997E-2</v>
      </c>
      <c r="N66" s="212">
        <v>4.9000000000000002E-2</v>
      </c>
      <c r="O66" s="268">
        <v>3.0000000000000001E-3</v>
      </c>
      <c r="P66" s="31">
        <v>8.0000000000000002E-3</v>
      </c>
      <c r="Q66" s="205">
        <v>3.0000000000000001E-3</v>
      </c>
      <c r="R66" s="25">
        <v>5.0000000000000001E-3</v>
      </c>
      <c r="S66" s="205">
        <f>((31-6)/31)*0.005*F66/AI66</f>
        <v>3.8132204420009744E-3</v>
      </c>
      <c r="T66" s="241">
        <f>F66/H66*K66/(1-L66)*(1-N66)/(1-O66)*(1-Q66)*(1+S66)</f>
        <v>26768622.603924207</v>
      </c>
      <c r="U66" s="147">
        <f t="shared" si="6"/>
        <v>23963444.269764818</v>
      </c>
      <c r="V66" s="31">
        <f t="shared" si="18"/>
        <v>-0.10411347375990375</v>
      </c>
      <c r="W66" s="13" t="s">
        <v>162</v>
      </c>
      <c r="X66" s="77">
        <f t="shared" si="14"/>
        <v>-3110856.347799927</v>
      </c>
      <c r="Y66" s="78">
        <f t="shared" si="15"/>
        <v>-0.10411347375990375</v>
      </c>
      <c r="Z66" s="97">
        <f t="shared" si="16"/>
        <v>-372355.21406193078</v>
      </c>
      <c r="AA66" s="79">
        <f t="shared" si="17"/>
        <v>-1.3719299892547481E-2</v>
      </c>
      <c r="AB66" s="90"/>
      <c r="AC66" s="158"/>
      <c r="AD66" s="206" t="s">
        <v>363</v>
      </c>
      <c r="AE66" s="90" t="s">
        <v>303</v>
      </c>
      <c r="AF66" s="230">
        <f t="shared" si="12"/>
        <v>5.7441636497735477E-4</v>
      </c>
      <c r="AG66" s="230">
        <f t="shared" si="13"/>
        <v>1559022.1820138618</v>
      </c>
      <c r="AH66" s="81" t="s">
        <v>379</v>
      </c>
      <c r="AI66" s="241">
        <v>28700000</v>
      </c>
      <c r="AJ66" s="198" t="s">
        <v>386</v>
      </c>
    </row>
    <row r="67" spans="1:36" ht="14.15" hidden="1" customHeight="1" x14ac:dyDescent="0.35">
      <c r="A67" s="38" t="s">
        <v>163</v>
      </c>
      <c r="B67" s="179" t="s">
        <v>164</v>
      </c>
      <c r="C67" s="39">
        <v>26342625.235062875</v>
      </c>
      <c r="D67" s="39">
        <v>22730239.918018389</v>
      </c>
      <c r="E67" s="40" t="s">
        <v>340</v>
      </c>
      <c r="F67" s="22">
        <v>24713987.276218418</v>
      </c>
      <c r="G67" s="35">
        <v>22741612.903225806</v>
      </c>
      <c r="H67" s="237">
        <v>0.93272253101724301</v>
      </c>
      <c r="I67" s="101">
        <v>0.95799999999999996</v>
      </c>
      <c r="J67" s="124">
        <f>95.8%+2.2%</f>
        <v>0.98</v>
      </c>
      <c r="K67" s="124">
        <v>0.98499999999999999</v>
      </c>
      <c r="L67" s="270">
        <v>8.9999999999999993E-3</v>
      </c>
      <c r="M67" s="46">
        <v>8.3999999999999995E-3</v>
      </c>
      <c r="N67" s="212">
        <v>8.9999999999999993E-3</v>
      </c>
      <c r="O67" s="20">
        <v>1.0999999999999999E-2</v>
      </c>
      <c r="P67" s="128">
        <f>1-(1-0.018)*(1-(0.039+0.029)/2)*(1-0.0203)</f>
        <v>7.0644823600000128E-2</v>
      </c>
      <c r="Q67" s="212">
        <f>1-(1-1.1%)*(1-5.1%)</f>
        <v>6.1439000000000021E-2</v>
      </c>
      <c r="R67" s="101">
        <v>1.4999999999999999E-2</v>
      </c>
      <c r="S67" s="205">
        <f>(0.04)*F67/AI67</f>
        <v>4.0534561092166764E-2</v>
      </c>
      <c r="T67" s="241">
        <f t="shared" si="5"/>
        <v>25772070.082041726</v>
      </c>
      <c r="U67" s="147">
        <f t="shared" si="6"/>
        <v>23089509.468369253</v>
      </c>
      <c r="V67" s="31">
        <f t="shared" si="18"/>
        <v>-2.1659008847065182E-2</v>
      </c>
      <c r="W67" s="13" t="s">
        <v>166</v>
      </c>
      <c r="X67" s="77">
        <f t="shared" ref="X67:X102" si="19">T67-C67</f>
        <v>-570555.15302114934</v>
      </c>
      <c r="Y67" s="78">
        <f t="shared" ref="Y67:Y98" si="20">X67/C67</f>
        <v>-2.1659008847065182E-2</v>
      </c>
      <c r="Z67" s="104">
        <f t="shared" ref="Z67:Z102" si="21">T67-F67</f>
        <v>1058082.8058233075</v>
      </c>
      <c r="AA67" s="80">
        <f t="shared" ref="AA67:AA98" si="22">Z67/F67</f>
        <v>4.2813116070569118E-2</v>
      </c>
      <c r="AB67" s="82"/>
      <c r="AC67" s="159" t="s">
        <v>305</v>
      </c>
      <c r="AD67" s="103" t="s">
        <v>364</v>
      </c>
      <c r="AE67" s="82" t="s">
        <v>304</v>
      </c>
      <c r="AF67" s="230">
        <f t="shared" si="12"/>
        <v>-1.318778538026577E-4</v>
      </c>
      <c r="AG67" s="230">
        <f t="shared" si="13"/>
        <v>-325922.76008938625</v>
      </c>
      <c r="AH67" s="81" t="s">
        <v>379</v>
      </c>
      <c r="AI67" s="241">
        <v>24388064.516129032</v>
      </c>
      <c r="AJ67" s="198" t="s">
        <v>339</v>
      </c>
    </row>
    <row r="68" spans="1:36" ht="14.15" hidden="1" customHeight="1" x14ac:dyDescent="0.35">
      <c r="A68" s="38" t="s">
        <v>163</v>
      </c>
      <c r="B68" s="179" t="s">
        <v>167</v>
      </c>
      <c r="C68" s="39">
        <v>24488874.394286107</v>
      </c>
      <c r="D68" s="39">
        <v>21130695.4161667</v>
      </c>
      <c r="E68" s="40" t="s">
        <v>340</v>
      </c>
      <c r="F68" s="22">
        <v>23319467.6179992</v>
      </c>
      <c r="G68" s="71">
        <v>21458387.096774194</v>
      </c>
      <c r="H68" s="237">
        <v>0.93272253101724301</v>
      </c>
      <c r="I68" s="101">
        <v>0.95799999999999996</v>
      </c>
      <c r="J68" s="124">
        <f>95.8%+2.2%</f>
        <v>0.98</v>
      </c>
      <c r="K68" s="124">
        <v>0.98499999999999999</v>
      </c>
      <c r="L68" s="270">
        <v>8.9999999999999993E-3</v>
      </c>
      <c r="M68" s="46">
        <v>8.3999999999999995E-3</v>
      </c>
      <c r="N68" s="212">
        <v>8.9999999999999993E-3</v>
      </c>
      <c r="O68" s="20">
        <v>1.0999999999999999E-2</v>
      </c>
      <c r="P68" s="128">
        <f>1-(1-0.018)*(1-(0.039+0.029)/2)*(1-0.0203)</f>
        <v>7.0644823600000128E-2</v>
      </c>
      <c r="Q68" s="212">
        <f>1-(1-1.1%)*(1-5.1%)</f>
        <v>6.1439000000000021E-2</v>
      </c>
      <c r="R68" s="25">
        <v>0</v>
      </c>
      <c r="S68" s="205">
        <f>(0.04/2)*F68/AI68</f>
        <v>2.0267280546083385E-2</v>
      </c>
      <c r="T68" s="241">
        <f t="shared" ref="T68:T107" si="23">F68/H68*K68/(1-L68)*(1-N68)/(1-O68)*(1-Q68)*(1+S68)</f>
        <v>23844189.554809846</v>
      </c>
      <c r="U68" s="147">
        <f t="shared" ref="U68:U107" si="24">G68/I68*K68/(1-L68)*(1-N68)/(1-O68)*(1-Q68)*(1+S68)</f>
        <v>21362297.97368909</v>
      </c>
      <c r="V68" s="31">
        <f t="shared" si="18"/>
        <v>-2.632562154946097E-2</v>
      </c>
      <c r="W68" s="13" t="s">
        <v>168</v>
      </c>
      <c r="X68" s="77">
        <f t="shared" si="19"/>
        <v>-644684.83947626129</v>
      </c>
      <c r="Y68" s="78">
        <f t="shared" si="20"/>
        <v>-2.632562154946097E-2</v>
      </c>
      <c r="Z68" s="104">
        <f t="shared" si="21"/>
        <v>524721.93681064621</v>
      </c>
      <c r="AA68" s="80">
        <f t="shared" si="22"/>
        <v>2.2501454381644546E-2</v>
      </c>
      <c r="AB68" s="82"/>
      <c r="AC68" s="159" t="s">
        <v>305</v>
      </c>
      <c r="AD68" s="103" t="s">
        <v>365</v>
      </c>
      <c r="AE68" s="82" t="s">
        <v>306</v>
      </c>
      <c r="AF68" s="230">
        <f t="shared" si="12"/>
        <v>-1.318778538026577E-4</v>
      </c>
      <c r="AG68" s="230">
        <f t="shared" si="13"/>
        <v>-307532.13412823156</v>
      </c>
      <c r="AH68" s="81" t="s">
        <v>379</v>
      </c>
      <c r="AI68" s="241">
        <v>23011935.483870968</v>
      </c>
      <c r="AJ68" s="198" t="s">
        <v>339</v>
      </c>
    </row>
    <row r="69" spans="1:36" ht="14.15" hidden="1" customHeight="1" x14ac:dyDescent="0.35">
      <c r="A69" s="38" t="s">
        <v>169</v>
      </c>
      <c r="B69" s="179" t="s">
        <v>170</v>
      </c>
      <c r="C69" s="41">
        <v>23745559.03866249</v>
      </c>
      <c r="D69" s="41">
        <v>22027795.193312436</v>
      </c>
      <c r="E69" s="40" t="s">
        <v>171</v>
      </c>
      <c r="F69" s="54">
        <f>23500000*'BP2022 - Distribution mensuelle'!BR3</f>
        <v>2708451.226664173</v>
      </c>
      <c r="G69" s="71">
        <f>21800000*'BP2022 - Distribution mensuelle'!BR3</f>
        <v>2512520.7123948499</v>
      </c>
      <c r="H69" s="238">
        <v>0.95699999999999996</v>
      </c>
      <c r="I69" s="101">
        <v>0.95699999999999996</v>
      </c>
      <c r="J69" s="124">
        <f>95.7%+1%</f>
        <v>0.96700000000000008</v>
      </c>
      <c r="K69" s="126">
        <v>0.96700000000000008</v>
      </c>
      <c r="L69" s="25">
        <v>0</v>
      </c>
      <c r="M69" s="31">
        <v>0</v>
      </c>
      <c r="N69" s="220">
        <v>0</v>
      </c>
      <c r="O69" s="31">
        <v>0</v>
      </c>
      <c r="P69" s="31">
        <v>0</v>
      </c>
      <c r="Q69" s="234">
        <v>0</v>
      </c>
      <c r="R69" s="25">
        <v>0</v>
      </c>
      <c r="S69" s="196">
        <v>0</v>
      </c>
      <c r="T69" s="241">
        <f t="shared" si="23"/>
        <v>2736752.7023868919</v>
      </c>
      <c r="U69" s="147">
        <f t="shared" si="24"/>
        <v>2538774.847320606</v>
      </c>
      <c r="V69" s="31">
        <f t="shared" si="18"/>
        <v>-0.88474675631216282</v>
      </c>
      <c r="W69" s="13" t="s">
        <v>316</v>
      </c>
      <c r="X69" s="77">
        <f t="shared" si="19"/>
        <v>-21008806.336275596</v>
      </c>
      <c r="Y69" s="78">
        <f t="shared" si="20"/>
        <v>-0.88474675631216282</v>
      </c>
      <c r="Z69" s="97">
        <f t="shared" si="21"/>
        <v>28301.475722718984</v>
      </c>
      <c r="AA69" s="79">
        <f t="shared" si="22"/>
        <v>1.0449320794148511E-2</v>
      </c>
      <c r="AB69" s="90"/>
      <c r="AC69" s="159" t="s">
        <v>307</v>
      </c>
      <c r="AD69" s="90"/>
      <c r="AE69" s="90"/>
      <c r="AF69" s="230">
        <f t="shared" si="12"/>
        <v>7.6765453882451679E-2</v>
      </c>
      <c r="AG69" s="230">
        <f t="shared" si="13"/>
        <v>20791548.773335826</v>
      </c>
      <c r="AI69" s="241">
        <v>23500000</v>
      </c>
      <c r="AJ69" s="198" t="s">
        <v>339</v>
      </c>
    </row>
    <row r="70" spans="1:36" ht="14.15" hidden="1" customHeight="1" x14ac:dyDescent="0.35">
      <c r="A70" s="38" t="s">
        <v>172</v>
      </c>
      <c r="B70" s="179" t="s">
        <v>173</v>
      </c>
      <c r="C70" s="41">
        <v>24048693.834900733</v>
      </c>
      <c r="D70" s="41">
        <v>22330929.989550684</v>
      </c>
      <c r="E70" s="40" t="s">
        <v>171</v>
      </c>
      <c r="F70" s="54">
        <v>0</v>
      </c>
      <c r="G70" s="71">
        <v>0</v>
      </c>
      <c r="H70" s="238">
        <v>0.95699999999999996</v>
      </c>
      <c r="I70" s="101">
        <v>0.95699999999999996</v>
      </c>
      <c r="J70" s="124">
        <f>95.7%+1%</f>
        <v>0.96700000000000008</v>
      </c>
      <c r="K70" s="126">
        <v>0.96699999999999997</v>
      </c>
      <c r="L70" s="34">
        <v>4.0000000000000002E-4</v>
      </c>
      <c r="M70" s="47">
        <v>4.0000000000000002E-4</v>
      </c>
      <c r="N70" s="229">
        <v>0</v>
      </c>
      <c r="O70" s="31">
        <v>0</v>
      </c>
      <c r="P70" s="31">
        <v>0</v>
      </c>
      <c r="Q70" s="233">
        <v>0</v>
      </c>
      <c r="R70" s="25">
        <v>0</v>
      </c>
      <c r="S70" s="196">
        <v>0</v>
      </c>
      <c r="T70" s="241">
        <f t="shared" si="23"/>
        <v>0</v>
      </c>
      <c r="U70" s="147">
        <f t="shared" si="24"/>
        <v>0</v>
      </c>
      <c r="V70" s="31">
        <f t="shared" si="18"/>
        <v>-1</v>
      </c>
      <c r="W70" s="13" t="s">
        <v>316</v>
      </c>
      <c r="X70" s="77">
        <f t="shared" si="19"/>
        <v>-24048693.834900733</v>
      </c>
      <c r="Y70" s="78">
        <f t="shared" si="20"/>
        <v>-1</v>
      </c>
      <c r="Z70" s="97">
        <f t="shared" si="21"/>
        <v>0</v>
      </c>
      <c r="AA70" s="79" t="e">
        <f t="shared" si="22"/>
        <v>#DIV/0!</v>
      </c>
      <c r="AB70" s="90"/>
      <c r="AC70" s="159" t="s">
        <v>307</v>
      </c>
      <c r="AD70" s="90"/>
      <c r="AE70" s="90"/>
      <c r="AF70" s="230" t="e">
        <f t="shared" si="12"/>
        <v>#DIV/0!</v>
      </c>
      <c r="AG70" s="230">
        <f t="shared" si="13"/>
        <v>23800000</v>
      </c>
      <c r="AI70" s="241">
        <v>23800000</v>
      </c>
      <c r="AJ70" s="198" t="s">
        <v>339</v>
      </c>
    </row>
    <row r="71" spans="1:36" ht="14.15" hidden="1" customHeight="1" x14ac:dyDescent="0.35">
      <c r="A71" s="38" t="s">
        <v>174</v>
      </c>
      <c r="B71" s="179" t="s">
        <v>175</v>
      </c>
      <c r="C71" s="39">
        <v>17466438.413361166</v>
      </c>
      <c r="D71" s="39">
        <v>16146300.6263048</v>
      </c>
      <c r="E71" s="40" t="s">
        <v>171</v>
      </c>
      <c r="F71" s="54">
        <v>17200000</v>
      </c>
      <c r="G71" s="71">
        <v>15900000</v>
      </c>
      <c r="H71" s="237">
        <v>0.95799999999999996</v>
      </c>
      <c r="I71" s="101">
        <v>0.95799999999999996</v>
      </c>
      <c r="J71" s="124">
        <f>95.8%+1%</f>
        <v>0.96799999999999997</v>
      </c>
      <c r="K71" s="223">
        <v>0.97</v>
      </c>
      <c r="L71" s="34">
        <v>5.7999999999999996E-3</v>
      </c>
      <c r="M71" s="47">
        <v>5.7999999999999996E-3</v>
      </c>
      <c r="N71" s="229">
        <v>5.7999999999999996E-3</v>
      </c>
      <c r="O71" s="31">
        <v>0</v>
      </c>
      <c r="P71" s="31">
        <v>0</v>
      </c>
      <c r="Q71" s="234">
        <v>0</v>
      </c>
      <c r="R71" s="25">
        <v>5.0000000000000001E-3</v>
      </c>
      <c r="S71" s="68">
        <v>5.0000000000000001E-3</v>
      </c>
      <c r="T71" s="241">
        <f t="shared" si="23"/>
        <v>17502526.096033402</v>
      </c>
      <c r="U71" s="147">
        <f t="shared" si="24"/>
        <v>16179660.751565762</v>
      </c>
      <c r="V71" s="31">
        <f t="shared" si="18"/>
        <v>2.0661157024794707E-3</v>
      </c>
      <c r="X71" s="77">
        <f t="shared" si="19"/>
        <v>36087.682672236115</v>
      </c>
      <c r="Y71" s="78">
        <f t="shared" si="20"/>
        <v>2.0661157024794707E-3</v>
      </c>
      <c r="Z71" s="97">
        <f t="shared" si="21"/>
        <v>302526.09603340179</v>
      </c>
      <c r="AA71" s="79">
        <f t="shared" si="22"/>
        <v>1.758872651356987E-2</v>
      </c>
      <c r="AB71" s="90"/>
      <c r="AC71" s="159" t="s">
        <v>307</v>
      </c>
      <c r="AD71" s="90" t="s">
        <v>176</v>
      </c>
      <c r="AE71" s="90" t="s">
        <v>176</v>
      </c>
      <c r="AF71" s="230">
        <f t="shared" si="12"/>
        <v>0</v>
      </c>
      <c r="AG71" s="230">
        <f t="shared" si="13"/>
        <v>0</v>
      </c>
      <c r="AI71" s="241">
        <v>17200000</v>
      </c>
      <c r="AJ71" s="198" t="s">
        <v>385</v>
      </c>
    </row>
    <row r="72" spans="1:36" ht="14.15" hidden="1" customHeight="1" x14ac:dyDescent="0.35">
      <c r="A72" s="38" t="s">
        <v>177</v>
      </c>
      <c r="B72" s="179" t="s">
        <v>178</v>
      </c>
      <c r="C72" s="39">
        <v>28300000.000000011</v>
      </c>
      <c r="D72" s="39">
        <v>25700000</v>
      </c>
      <c r="E72" s="40" t="s">
        <v>179</v>
      </c>
      <c r="F72" s="22">
        <v>28300000.000000011</v>
      </c>
      <c r="G72" s="35">
        <v>25700000</v>
      </c>
      <c r="H72" s="237">
        <v>0.96499999999999997</v>
      </c>
      <c r="I72" s="25">
        <v>0.96499999999999997</v>
      </c>
      <c r="J72" s="123">
        <v>0.96499999999999997</v>
      </c>
      <c r="K72" s="96">
        <v>0.96499999999999997</v>
      </c>
      <c r="L72" s="25">
        <v>5.0000000000000001E-3</v>
      </c>
      <c r="M72" s="31">
        <v>5.0000000000000001E-3</v>
      </c>
      <c r="N72" s="220">
        <v>5.0000000000000001E-3</v>
      </c>
      <c r="O72" s="31">
        <v>0</v>
      </c>
      <c r="P72" s="31">
        <v>0</v>
      </c>
      <c r="Q72" s="233">
        <v>0</v>
      </c>
      <c r="R72" s="25">
        <v>0</v>
      </c>
      <c r="S72" s="196">
        <v>6.0000000000000001E-3</v>
      </c>
      <c r="T72" s="241">
        <f t="shared" si="23"/>
        <v>28469800.000000011</v>
      </c>
      <c r="U72" s="147">
        <f t="shared" si="24"/>
        <v>25854200</v>
      </c>
      <c r="V72" s="31">
        <f t="shared" si="18"/>
        <v>5.9999999999999975E-3</v>
      </c>
      <c r="X72" s="77">
        <f t="shared" si="19"/>
        <v>169800</v>
      </c>
      <c r="Y72" s="78">
        <f t="shared" si="20"/>
        <v>5.9999999999999975E-3</v>
      </c>
      <c r="Z72" s="97">
        <f t="shared" si="21"/>
        <v>169800</v>
      </c>
      <c r="AA72" s="79">
        <f t="shared" si="22"/>
        <v>5.9999999999999975E-3</v>
      </c>
      <c r="AB72" s="90"/>
      <c r="AC72" s="158"/>
      <c r="AD72" s="90" t="s">
        <v>350</v>
      </c>
      <c r="AE72" s="90"/>
      <c r="AF72" s="230">
        <f t="shared" si="12"/>
        <v>0</v>
      </c>
      <c r="AG72" s="230">
        <f t="shared" si="13"/>
        <v>0</v>
      </c>
      <c r="AI72" s="241">
        <v>28300000.000000011</v>
      </c>
      <c r="AJ72" s="198" t="s">
        <v>339</v>
      </c>
    </row>
    <row r="73" spans="1:36" ht="14.15" hidden="1" customHeight="1" x14ac:dyDescent="0.35">
      <c r="A73" s="38" t="s">
        <v>180</v>
      </c>
      <c r="B73" s="179" t="s">
        <v>181</v>
      </c>
      <c r="C73" s="39">
        <v>24794083.991626095</v>
      </c>
      <c r="D73" s="39">
        <v>22416569.088319473</v>
      </c>
      <c r="E73" s="40" t="s">
        <v>179</v>
      </c>
      <c r="F73" s="22">
        <v>24794083.991626095</v>
      </c>
      <c r="G73" s="35">
        <v>22416569.088319473</v>
      </c>
      <c r="H73" s="237">
        <v>0.96499999999999997</v>
      </c>
      <c r="I73" s="25">
        <v>0.96499999999999997</v>
      </c>
      <c r="J73" s="123">
        <v>0.96499999999999997</v>
      </c>
      <c r="K73" s="223">
        <f>96.5%+0.2%</f>
        <v>0.96699999999999997</v>
      </c>
      <c r="L73" s="25">
        <v>8.9999999999999993E-3</v>
      </c>
      <c r="M73" s="31">
        <v>8.9999999999999993E-3</v>
      </c>
      <c r="N73" s="220">
        <v>8.9999999999999993E-3</v>
      </c>
      <c r="O73" s="31">
        <v>0</v>
      </c>
      <c r="P73" s="31">
        <v>0</v>
      </c>
      <c r="Q73" s="233">
        <v>0</v>
      </c>
      <c r="R73" s="25">
        <v>0</v>
      </c>
      <c r="S73" s="196">
        <v>6.0000000000000001E-3</v>
      </c>
      <c r="T73" s="241">
        <f t="shared" si="23"/>
        <v>24994543.518364608</v>
      </c>
      <c r="U73" s="147">
        <f t="shared" si="24"/>
        <v>22597806.468658406</v>
      </c>
      <c r="V73" s="31">
        <f t="shared" si="18"/>
        <v>8.0849740932641863E-3</v>
      </c>
      <c r="X73" s="77">
        <f t="shared" si="19"/>
        <v>200459.52673851326</v>
      </c>
      <c r="Y73" s="78">
        <f t="shared" si="20"/>
        <v>8.0849740932641863E-3</v>
      </c>
      <c r="Z73" s="97">
        <f t="shared" si="21"/>
        <v>200459.52673851326</v>
      </c>
      <c r="AA73" s="79">
        <f t="shared" si="22"/>
        <v>8.0849740932641863E-3</v>
      </c>
      <c r="AB73" s="90"/>
      <c r="AC73" s="158"/>
      <c r="AD73" s="90" t="s">
        <v>350</v>
      </c>
      <c r="AE73" s="90"/>
      <c r="AF73" s="230">
        <f t="shared" si="12"/>
        <v>0</v>
      </c>
      <c r="AG73" s="230">
        <f t="shared" si="13"/>
        <v>0</v>
      </c>
      <c r="AI73" s="241">
        <v>24794083.991626095</v>
      </c>
      <c r="AJ73" s="198" t="s">
        <v>339</v>
      </c>
    </row>
    <row r="74" spans="1:36" ht="14.15" hidden="1" customHeight="1" x14ac:dyDescent="0.35">
      <c r="A74" s="38" t="s">
        <v>180</v>
      </c>
      <c r="B74" s="179" t="s">
        <v>182</v>
      </c>
      <c r="C74" s="39">
        <v>11705916.008373924</v>
      </c>
      <c r="D74" s="39">
        <v>10583430.911680529</v>
      </c>
      <c r="E74" s="40" t="s">
        <v>179</v>
      </c>
      <c r="F74" s="22">
        <v>11705916.008373924</v>
      </c>
      <c r="G74" s="35">
        <v>10583430.911680529</v>
      </c>
      <c r="H74" s="237">
        <v>0.96499999999999997</v>
      </c>
      <c r="I74" s="25">
        <v>0.96499999999999997</v>
      </c>
      <c r="J74" s="123">
        <v>0.96499999999999997</v>
      </c>
      <c r="K74" s="223">
        <f>96.5%+0.2%</f>
        <v>0.96699999999999997</v>
      </c>
      <c r="L74" s="25">
        <v>8.9999999999999993E-3</v>
      </c>
      <c r="M74" s="31">
        <v>8.9999999999999993E-3</v>
      </c>
      <c r="N74" s="220">
        <v>8.9999999999999993E-3</v>
      </c>
      <c r="O74" s="31">
        <v>0</v>
      </c>
      <c r="P74" s="31">
        <v>0</v>
      </c>
      <c r="Q74" s="233">
        <v>0</v>
      </c>
      <c r="R74" s="25">
        <v>0</v>
      </c>
      <c r="S74" s="196">
        <v>6.0000000000000001E-3</v>
      </c>
      <c r="T74" s="241">
        <f t="shared" si="23"/>
        <v>11800558.036039554</v>
      </c>
      <c r="U74" s="147">
        <f t="shared" si="24"/>
        <v>10668997.676419316</v>
      </c>
      <c r="V74" s="31">
        <f t="shared" si="18"/>
        <v>8.0849740932642123E-3</v>
      </c>
      <c r="X74" s="77">
        <f t="shared" si="19"/>
        <v>94642.027665629983</v>
      </c>
      <c r="Y74" s="78">
        <f t="shared" si="20"/>
        <v>8.0849740932642123E-3</v>
      </c>
      <c r="Z74" s="97">
        <f t="shared" si="21"/>
        <v>94642.027665629983</v>
      </c>
      <c r="AA74" s="79">
        <f t="shared" si="22"/>
        <v>8.0849740932642123E-3</v>
      </c>
      <c r="AB74" s="90"/>
      <c r="AC74" s="158"/>
      <c r="AD74" s="90" t="s">
        <v>350</v>
      </c>
      <c r="AE74" s="90"/>
      <c r="AF74" s="230">
        <f t="shared" si="12"/>
        <v>0</v>
      </c>
      <c r="AG74" s="230">
        <f t="shared" si="13"/>
        <v>0</v>
      </c>
      <c r="AI74" s="241">
        <v>11705916.008373924</v>
      </c>
      <c r="AJ74" s="198" t="s">
        <v>339</v>
      </c>
    </row>
    <row r="75" spans="1:36" ht="14.15" hidden="1" customHeight="1" x14ac:dyDescent="0.35">
      <c r="A75" s="38" t="s">
        <v>183</v>
      </c>
      <c r="B75" s="179" t="s">
        <v>184</v>
      </c>
      <c r="C75" s="39">
        <v>18700000.000000007</v>
      </c>
      <c r="D75" s="39">
        <v>17300000</v>
      </c>
      <c r="E75" s="40" t="s">
        <v>171</v>
      </c>
      <c r="F75" s="22">
        <f>18700000*SUM('BP2022 - Distribution mensuelle'!BX3:BX6)</f>
        <v>7289450.5546520762</v>
      </c>
      <c r="G75" s="35">
        <f>17300000*SUM('BP2022 - Distribution mensuelle'!BX3:BX6)</f>
        <v>6743716.2885283912</v>
      </c>
      <c r="H75" s="237">
        <v>0.96099999999999997</v>
      </c>
      <c r="I75" s="25">
        <v>0.96099999999999997</v>
      </c>
      <c r="J75" s="123">
        <v>0.96099999999999997</v>
      </c>
      <c r="K75" s="96">
        <v>0.96099999999999997</v>
      </c>
      <c r="L75" s="25">
        <v>0</v>
      </c>
      <c r="M75" s="31">
        <v>0</v>
      </c>
      <c r="N75" s="220">
        <v>0</v>
      </c>
      <c r="O75" s="31">
        <v>0</v>
      </c>
      <c r="P75" s="31">
        <v>0</v>
      </c>
      <c r="Q75" s="220">
        <v>0</v>
      </c>
      <c r="R75" s="25">
        <v>0</v>
      </c>
      <c r="S75" s="196">
        <v>0</v>
      </c>
      <c r="T75" s="241">
        <f t="shared" si="23"/>
        <v>7289450.5546520762</v>
      </c>
      <c r="U75" s="147">
        <f t="shared" si="24"/>
        <v>6743716.2885283912</v>
      </c>
      <c r="V75" s="31">
        <f t="shared" si="18"/>
        <v>-0.61018980991165384</v>
      </c>
      <c r="X75" s="77">
        <f t="shared" si="19"/>
        <v>-11410549.445347931</v>
      </c>
      <c r="Y75" s="78">
        <f t="shared" si="20"/>
        <v>-0.61018980991165384</v>
      </c>
      <c r="Z75" s="97">
        <f t="shared" si="21"/>
        <v>0</v>
      </c>
      <c r="AA75" s="79">
        <f t="shared" si="22"/>
        <v>0</v>
      </c>
      <c r="AB75" s="90"/>
      <c r="AC75" s="158"/>
      <c r="AD75" s="90"/>
      <c r="AE75" s="90"/>
      <c r="AF75" s="230">
        <f t="shared" si="12"/>
        <v>1.5653511001684203E-2</v>
      </c>
      <c r="AG75" s="230">
        <f t="shared" si="13"/>
        <v>11410549.445347931</v>
      </c>
      <c r="AI75" s="241">
        <v>18700000.000000007</v>
      </c>
      <c r="AJ75" s="198" t="s">
        <v>339</v>
      </c>
    </row>
    <row r="76" spans="1:36" ht="14.15" hidden="1" customHeight="1" x14ac:dyDescent="0.35">
      <c r="A76" s="38" t="s">
        <v>185</v>
      </c>
      <c r="B76" s="179" t="s">
        <v>186</v>
      </c>
      <c r="C76" s="39">
        <v>20727818.756585885</v>
      </c>
      <c r="D76" s="39">
        <v>18991991.570073765</v>
      </c>
      <c r="E76" s="40" t="s">
        <v>171</v>
      </c>
      <c r="F76" s="22">
        <v>20300000</v>
      </c>
      <c r="G76" s="35">
        <v>18600000</v>
      </c>
      <c r="H76" s="237">
        <v>0.94899999999999995</v>
      </c>
      <c r="I76" s="101">
        <v>0.94899999999999995</v>
      </c>
      <c r="J76" s="124">
        <f>94.9%+2%</f>
        <v>0.96900000000000008</v>
      </c>
      <c r="K76" s="126">
        <v>0.96900000000000008</v>
      </c>
      <c r="L76" s="25">
        <v>0</v>
      </c>
      <c r="M76" s="31" t="s">
        <v>37</v>
      </c>
      <c r="N76" s="203">
        <v>0</v>
      </c>
      <c r="O76" s="31">
        <v>0</v>
      </c>
      <c r="P76" s="31">
        <v>0</v>
      </c>
      <c r="Q76" s="234">
        <v>0</v>
      </c>
      <c r="R76" s="25">
        <v>0</v>
      </c>
      <c r="S76" s="196">
        <v>0</v>
      </c>
      <c r="T76" s="241">
        <f t="shared" si="23"/>
        <v>20727818.756585885</v>
      </c>
      <c r="U76" s="151">
        <f t="shared" si="24"/>
        <v>18991991.570073765</v>
      </c>
      <c r="V76" s="31">
        <f t="shared" si="18"/>
        <v>0</v>
      </c>
      <c r="X76" s="77">
        <f t="shared" si="19"/>
        <v>0</v>
      </c>
      <c r="Y76" s="78">
        <f t="shared" si="20"/>
        <v>0</v>
      </c>
      <c r="Z76" s="97">
        <f t="shared" si="21"/>
        <v>427818.75658588484</v>
      </c>
      <c r="AA76" s="79">
        <f t="shared" si="22"/>
        <v>2.1074815595363786E-2</v>
      </c>
      <c r="AB76" s="90"/>
      <c r="AC76" s="159" t="s">
        <v>308</v>
      </c>
      <c r="AD76" s="90"/>
      <c r="AE76" s="90"/>
      <c r="AF76" s="230">
        <f t="shared" si="12"/>
        <v>0</v>
      </c>
      <c r="AG76" s="230">
        <f t="shared" si="13"/>
        <v>0</v>
      </c>
      <c r="AI76" s="241">
        <v>20300000</v>
      </c>
      <c r="AJ76" s="198" t="s">
        <v>339</v>
      </c>
    </row>
    <row r="77" spans="1:36" ht="14.15" hidden="1" customHeight="1" x14ac:dyDescent="0.35">
      <c r="A77" s="38" t="s">
        <v>187</v>
      </c>
      <c r="B77" s="179" t="s">
        <v>188</v>
      </c>
      <c r="C77" s="39">
        <v>9044999.9999999981</v>
      </c>
      <c r="D77" s="39">
        <v>8240999.9999999981</v>
      </c>
      <c r="E77" s="40" t="s">
        <v>171</v>
      </c>
      <c r="F77" s="22">
        <v>9000000</v>
      </c>
      <c r="G77" s="35">
        <v>8200000</v>
      </c>
      <c r="H77" s="237">
        <v>0.95199999999999996</v>
      </c>
      <c r="I77" s="25">
        <v>0.95199999999999996</v>
      </c>
      <c r="J77" s="123">
        <v>0.95199999999999996</v>
      </c>
      <c r="K77" s="223">
        <v>0.95499999999999996</v>
      </c>
      <c r="L77" s="25">
        <v>0</v>
      </c>
      <c r="M77" s="31">
        <v>0</v>
      </c>
      <c r="N77" s="220">
        <v>0</v>
      </c>
      <c r="O77" s="31">
        <v>0</v>
      </c>
      <c r="P77" s="31">
        <v>0</v>
      </c>
      <c r="Q77" s="233">
        <v>0</v>
      </c>
      <c r="R77" s="25">
        <v>5.0000000000000001E-3</v>
      </c>
      <c r="S77" s="68">
        <v>5.0000000000000001E-3</v>
      </c>
      <c r="T77" s="241">
        <f t="shared" si="23"/>
        <v>9073503.1512605026</v>
      </c>
      <c r="U77" s="147">
        <f t="shared" si="24"/>
        <v>8266969.5378151247</v>
      </c>
      <c r="V77" s="31">
        <f t="shared" ref="V77:V94" si="25">(T77-C77)/C77</f>
        <v>3.1512605042017141E-3</v>
      </c>
      <c r="X77" s="77">
        <f t="shared" si="19"/>
        <v>28503.151260504499</v>
      </c>
      <c r="Y77" s="78">
        <f t="shared" si="20"/>
        <v>3.1512605042017141E-3</v>
      </c>
      <c r="Z77" s="97">
        <f t="shared" si="21"/>
        <v>73503.151260502636</v>
      </c>
      <c r="AA77" s="79">
        <f t="shared" si="22"/>
        <v>8.1670168067225143E-3</v>
      </c>
      <c r="AB77" s="90"/>
      <c r="AC77" s="158"/>
      <c r="AD77" s="90" t="s">
        <v>176</v>
      </c>
      <c r="AE77" s="90" t="s">
        <v>176</v>
      </c>
      <c r="AF77" s="230">
        <f t="shared" si="12"/>
        <v>0</v>
      </c>
      <c r="AG77" s="230">
        <f t="shared" si="13"/>
        <v>0</v>
      </c>
      <c r="AI77" s="241">
        <v>9000000</v>
      </c>
      <c r="AJ77" s="198" t="s">
        <v>385</v>
      </c>
    </row>
    <row r="78" spans="1:36" ht="14.15" hidden="1" customHeight="1" x14ac:dyDescent="0.35">
      <c r="A78" s="38" t="s">
        <v>189</v>
      </c>
      <c r="B78" s="179" t="s">
        <v>190</v>
      </c>
      <c r="C78" s="39">
        <v>20723600</v>
      </c>
      <c r="D78" s="39">
        <v>19315200</v>
      </c>
      <c r="E78" s="40" t="s">
        <v>171</v>
      </c>
      <c r="F78" s="22">
        <v>20600000</v>
      </c>
      <c r="G78" s="35">
        <v>19200000</v>
      </c>
      <c r="H78" s="237">
        <v>0.96599999999999997</v>
      </c>
      <c r="I78" s="25">
        <v>0.96599999999999997</v>
      </c>
      <c r="J78" s="123">
        <v>0.96599999999999997</v>
      </c>
      <c r="K78" s="223">
        <v>0.96699999999999997</v>
      </c>
      <c r="L78" s="25">
        <v>0</v>
      </c>
      <c r="M78" s="31">
        <v>0</v>
      </c>
      <c r="N78" s="220">
        <v>0</v>
      </c>
      <c r="O78" s="20">
        <v>0</v>
      </c>
      <c r="P78" s="31">
        <v>0</v>
      </c>
      <c r="Q78" s="233">
        <v>0</v>
      </c>
      <c r="R78" s="25">
        <v>6.0000000000000001E-3</v>
      </c>
      <c r="S78" s="68">
        <v>6.0000000000000001E-3</v>
      </c>
      <c r="T78" s="241">
        <f t="shared" si="23"/>
        <v>20745053.00207039</v>
      </c>
      <c r="U78" s="147">
        <f t="shared" si="24"/>
        <v>19335195.031055901</v>
      </c>
      <c r="V78" s="31">
        <f t="shared" si="25"/>
        <v>1.0351966873704225E-3</v>
      </c>
      <c r="X78" s="77">
        <f t="shared" si="19"/>
        <v>21453.002070389688</v>
      </c>
      <c r="Y78" s="78">
        <f t="shared" si="20"/>
        <v>1.0351966873704225E-3</v>
      </c>
      <c r="Z78" s="97">
        <f t="shared" si="21"/>
        <v>145053.00207038969</v>
      </c>
      <c r="AA78" s="79">
        <f t="shared" si="22"/>
        <v>7.0414078674946451E-3</v>
      </c>
      <c r="AB78" s="90"/>
      <c r="AC78" s="158"/>
      <c r="AD78" s="90" t="s">
        <v>375</v>
      </c>
      <c r="AE78" s="90" t="s">
        <v>309</v>
      </c>
      <c r="AF78" s="230">
        <f t="shared" ref="AF78:AF94" si="26">(AI78/F78-1)%</f>
        <v>0</v>
      </c>
      <c r="AG78" s="230">
        <f t="shared" ref="AG78:AG94" si="27">AI78-F78</f>
        <v>0</v>
      </c>
      <c r="AI78" s="241">
        <v>20600000</v>
      </c>
      <c r="AJ78" s="198" t="s">
        <v>385</v>
      </c>
    </row>
    <row r="79" spans="1:36" ht="14.15" hidden="1" customHeight="1" x14ac:dyDescent="0.35">
      <c r="A79" s="38" t="s">
        <v>191</v>
      </c>
      <c r="B79" s="179" t="s">
        <v>192</v>
      </c>
      <c r="C79" s="39">
        <v>15175499.999999998</v>
      </c>
      <c r="D79" s="39">
        <v>14069999.999999998</v>
      </c>
      <c r="E79" s="40" t="s">
        <v>171</v>
      </c>
      <c r="F79" s="22">
        <v>15100000</v>
      </c>
      <c r="G79" s="35">
        <v>14000000</v>
      </c>
      <c r="H79" s="237">
        <v>0.96</v>
      </c>
      <c r="I79" s="25">
        <v>0.96</v>
      </c>
      <c r="J79" s="123">
        <v>0.96</v>
      </c>
      <c r="K79" s="223">
        <v>0.97499999999999998</v>
      </c>
      <c r="L79" s="25">
        <v>0</v>
      </c>
      <c r="M79" s="31">
        <v>0</v>
      </c>
      <c r="N79" s="220">
        <v>0</v>
      </c>
      <c r="O79" s="20">
        <v>0</v>
      </c>
      <c r="P79" s="31">
        <v>0</v>
      </c>
      <c r="Q79" s="233">
        <v>0</v>
      </c>
      <c r="R79" s="101">
        <v>5.0000000000000001E-3</v>
      </c>
      <c r="S79" s="68">
        <v>5.0000000000000001E-3</v>
      </c>
      <c r="T79" s="241">
        <f t="shared" si="23"/>
        <v>15412617.187499998</v>
      </c>
      <c r="U79" s="147">
        <f t="shared" si="24"/>
        <v>14289843.749999998</v>
      </c>
      <c r="V79" s="31">
        <f t="shared" si="25"/>
        <v>1.5625000000000003E-2</v>
      </c>
      <c r="X79" s="77">
        <f t="shared" si="19"/>
        <v>237117.1875</v>
      </c>
      <c r="Y79" s="78">
        <f t="shared" si="20"/>
        <v>1.5625000000000003E-2</v>
      </c>
      <c r="Z79" s="97">
        <f t="shared" si="21"/>
        <v>312617.18749999814</v>
      </c>
      <c r="AA79" s="79">
        <f t="shared" si="22"/>
        <v>2.0703124999999878E-2</v>
      </c>
      <c r="AB79" s="90"/>
      <c r="AC79" s="158"/>
      <c r="AD79" s="90" t="s">
        <v>176</v>
      </c>
      <c r="AE79" s="90" t="s">
        <v>176</v>
      </c>
      <c r="AF79" s="230">
        <f t="shared" si="26"/>
        <v>0</v>
      </c>
      <c r="AG79" s="230">
        <f t="shared" si="27"/>
        <v>0</v>
      </c>
      <c r="AI79" s="241">
        <v>15100000</v>
      </c>
      <c r="AJ79" s="198" t="s">
        <v>385</v>
      </c>
    </row>
    <row r="80" spans="1:36" ht="14.15" hidden="1" customHeight="1" x14ac:dyDescent="0.35">
      <c r="A80" s="38" t="s">
        <v>193</v>
      </c>
      <c r="B80" s="179" t="s">
        <v>194</v>
      </c>
      <c r="C80" s="39">
        <v>18592499.999999996</v>
      </c>
      <c r="D80" s="39">
        <v>17286000</v>
      </c>
      <c r="E80" s="40" t="s">
        <v>171</v>
      </c>
      <c r="F80" s="22">
        <v>18500000</v>
      </c>
      <c r="G80" s="35">
        <v>17200000</v>
      </c>
      <c r="H80" s="237">
        <v>0.96699999999999997</v>
      </c>
      <c r="I80" s="25">
        <v>0.96699999999999997</v>
      </c>
      <c r="J80" s="123">
        <v>0.96699999999999997</v>
      </c>
      <c r="K80" s="223">
        <v>0.97</v>
      </c>
      <c r="L80" s="25">
        <v>7.0000000000000001E-3</v>
      </c>
      <c r="M80" s="31">
        <v>7.0000000000000001E-3</v>
      </c>
      <c r="N80" s="220">
        <v>7.0000000000000001E-3</v>
      </c>
      <c r="O80" s="31">
        <v>0</v>
      </c>
      <c r="P80" s="31">
        <v>0</v>
      </c>
      <c r="Q80" s="220">
        <v>0</v>
      </c>
      <c r="R80" s="101">
        <v>5.0000000000000001E-3</v>
      </c>
      <c r="S80" s="68">
        <v>5.0000000000000001E-3</v>
      </c>
      <c r="T80" s="241">
        <f t="shared" si="23"/>
        <v>18650180.972078592</v>
      </c>
      <c r="U80" s="147">
        <f t="shared" si="24"/>
        <v>17339627.714581173</v>
      </c>
      <c r="V80" s="31">
        <f t="shared" si="25"/>
        <v>3.1023784901758945E-3</v>
      </c>
      <c r="X80" s="77">
        <f t="shared" si="19"/>
        <v>57680.97207859531</v>
      </c>
      <c r="Y80" s="78">
        <f t="shared" si="20"/>
        <v>3.1023784901758945E-3</v>
      </c>
      <c r="Z80" s="97">
        <f t="shared" si="21"/>
        <v>150180.97207859159</v>
      </c>
      <c r="AA80" s="79">
        <f t="shared" si="22"/>
        <v>8.1178903826265719E-3</v>
      </c>
      <c r="AB80" s="90"/>
      <c r="AC80" s="158"/>
      <c r="AD80" s="90" t="s">
        <v>176</v>
      </c>
      <c r="AE80" s="90" t="s">
        <v>176</v>
      </c>
      <c r="AF80" s="230">
        <f t="shared" si="26"/>
        <v>0</v>
      </c>
      <c r="AG80" s="230">
        <f t="shared" si="27"/>
        <v>0</v>
      </c>
      <c r="AI80" s="241">
        <v>18500000</v>
      </c>
      <c r="AJ80" s="198" t="s">
        <v>385</v>
      </c>
    </row>
    <row r="81" spans="1:36" ht="14.15" hidden="1" customHeight="1" x14ac:dyDescent="0.35">
      <c r="A81" s="38" t="s">
        <v>195</v>
      </c>
      <c r="B81" s="179" t="s">
        <v>196</v>
      </c>
      <c r="C81" s="39">
        <v>16867200</v>
      </c>
      <c r="D81" s="39">
        <v>15662400</v>
      </c>
      <c r="E81" s="40" t="s">
        <v>171</v>
      </c>
      <c r="F81" s="22">
        <v>16800000</v>
      </c>
      <c r="G81" s="35">
        <v>15600000</v>
      </c>
      <c r="H81" s="237">
        <v>0.96799999999999997</v>
      </c>
      <c r="I81" s="25">
        <v>0.96799999999999997</v>
      </c>
      <c r="J81" s="123">
        <v>0.96799999999999997</v>
      </c>
      <c r="K81" s="96">
        <v>0.96499999999999997</v>
      </c>
      <c r="L81" s="25">
        <v>0</v>
      </c>
      <c r="M81" s="31">
        <v>0</v>
      </c>
      <c r="N81" s="220">
        <v>0</v>
      </c>
      <c r="O81" s="20">
        <v>0</v>
      </c>
      <c r="P81" s="31">
        <v>0</v>
      </c>
      <c r="Q81" s="234">
        <v>0</v>
      </c>
      <c r="R81" s="101">
        <v>4.0000000000000001E-3</v>
      </c>
      <c r="S81" s="196">
        <v>6.0000000000000001E-3</v>
      </c>
      <c r="T81" s="241">
        <f t="shared" si="23"/>
        <v>16848421.487603307</v>
      </c>
      <c r="U81" s="147">
        <f t="shared" si="24"/>
        <v>15644962.809917355</v>
      </c>
      <c r="V81" s="31">
        <f t="shared" si="25"/>
        <v>-1.1133153337064378E-3</v>
      </c>
      <c r="X81" s="77">
        <f t="shared" si="19"/>
        <v>-18778.51239669323</v>
      </c>
      <c r="Y81" s="78">
        <f t="shared" si="20"/>
        <v>-1.1133153337064378E-3</v>
      </c>
      <c r="Z81" s="97">
        <f t="shared" si="21"/>
        <v>48421.48760330677</v>
      </c>
      <c r="AA81" s="79">
        <f t="shared" si="22"/>
        <v>2.8822314049587365E-3</v>
      </c>
      <c r="AB81" s="90"/>
      <c r="AC81" s="158"/>
      <c r="AD81" s="90" t="s">
        <v>350</v>
      </c>
      <c r="AE81" s="90" t="s">
        <v>197</v>
      </c>
      <c r="AF81" s="230">
        <f t="shared" si="26"/>
        <v>0</v>
      </c>
      <c r="AG81" s="230">
        <f t="shared" si="27"/>
        <v>0</v>
      </c>
      <c r="AI81" s="241">
        <v>16800000</v>
      </c>
      <c r="AJ81" s="198" t="s">
        <v>339</v>
      </c>
    </row>
    <row r="82" spans="1:36" ht="14.15" hidden="1" customHeight="1" x14ac:dyDescent="0.35">
      <c r="A82" s="38" t="s">
        <v>198</v>
      </c>
      <c r="B82" s="179" t="s">
        <v>199</v>
      </c>
      <c r="C82" s="39">
        <v>20840096.627447348</v>
      </c>
      <c r="D82" s="39">
        <v>19265833.237488996</v>
      </c>
      <c r="E82" s="40" t="s">
        <v>200</v>
      </c>
      <c r="F82" s="22">
        <v>19579000</v>
      </c>
      <c r="G82" s="35">
        <v>18100000</v>
      </c>
      <c r="H82" s="237">
        <v>0.98599999999999999</v>
      </c>
      <c r="I82" s="25">
        <v>0.98599999999999999</v>
      </c>
      <c r="J82" s="31">
        <v>0.98599999999999999</v>
      </c>
      <c r="K82" s="68">
        <v>0.98599999999999999</v>
      </c>
      <c r="L82" s="25">
        <v>0</v>
      </c>
      <c r="M82" s="31" t="s">
        <v>37</v>
      </c>
      <c r="N82" s="203">
        <v>0</v>
      </c>
      <c r="O82" s="20">
        <f>1-(0.978*0.878)</f>
        <v>0.141316</v>
      </c>
      <c r="P82" s="128">
        <f>1-((1-0.017)*(1-0.117))</f>
        <v>0.13201099999999999</v>
      </c>
      <c r="Q82" s="226">
        <f>1-((1-0.017)*(1-0.117))</f>
        <v>0.13201099999999999</v>
      </c>
      <c r="R82" s="101">
        <v>5.2999999999999999E-2</v>
      </c>
      <c r="S82" s="227">
        <f>1-((1-0.017)*(1-0.117))-(1-((1-0.017)*(1-((0.117*6+0.02*6)/12))))</f>
        <v>4.7675499999999982E-2</v>
      </c>
      <c r="T82" s="241">
        <f t="shared" si="23"/>
        <v>20734718.569999255</v>
      </c>
      <c r="U82" s="151">
        <f t="shared" si="24"/>
        <v>19168415.451094877</v>
      </c>
      <c r="V82" s="31">
        <f t="shared" si="25"/>
        <v>-5.0565052231718154E-3</v>
      </c>
      <c r="W82" s="90"/>
      <c r="X82" s="77">
        <f t="shared" si="19"/>
        <v>-105378.05744809285</v>
      </c>
      <c r="Y82" s="78">
        <f t="shared" si="20"/>
        <v>-5.0565052231718154E-3</v>
      </c>
      <c r="Z82" s="104">
        <f t="shared" si="21"/>
        <v>1155718.5699992552</v>
      </c>
      <c r="AA82" s="80">
        <f t="shared" si="22"/>
        <v>5.9028477961042713E-2</v>
      </c>
      <c r="AB82" s="90"/>
      <c r="AC82" s="158"/>
      <c r="AD82" s="228" t="s">
        <v>369</v>
      </c>
      <c r="AE82" s="90" t="s">
        <v>310</v>
      </c>
      <c r="AF82" s="230">
        <f t="shared" si="26"/>
        <v>0</v>
      </c>
      <c r="AG82" s="230">
        <f t="shared" si="27"/>
        <v>0</v>
      </c>
      <c r="AI82" s="241">
        <v>19579000</v>
      </c>
      <c r="AJ82" s="198" t="s">
        <v>339</v>
      </c>
    </row>
    <row r="83" spans="1:36" ht="13.5" hidden="1" customHeight="1" x14ac:dyDescent="0.35">
      <c r="A83" s="38" t="s">
        <v>202</v>
      </c>
      <c r="B83" s="179" t="s">
        <v>203</v>
      </c>
      <c r="C83" s="39">
        <f>21600000</f>
        <v>21600000</v>
      </c>
      <c r="D83" s="39">
        <f>20000000</f>
        <v>20000000</v>
      </c>
      <c r="E83" s="40" t="s">
        <v>171</v>
      </c>
      <c r="F83" s="22">
        <f>21600000*SUM('BP2022 - Distribution mensuelle'!CF3:CF8)</f>
        <v>11270228.765045892</v>
      </c>
      <c r="G83" s="35">
        <f>20000000*SUM('BP2022 - Distribution mensuelle'!CF3:CF8)</f>
        <v>10435397.004672123</v>
      </c>
      <c r="H83" s="237">
        <v>0.95099999999999996</v>
      </c>
      <c r="I83" s="25">
        <v>0.95099999999999996</v>
      </c>
      <c r="J83" s="31">
        <v>0.95099999999999996</v>
      </c>
      <c r="K83" s="68">
        <v>0.95099999999999996</v>
      </c>
      <c r="L83" s="25">
        <v>0</v>
      </c>
      <c r="M83" s="31">
        <v>0</v>
      </c>
      <c r="N83" s="220">
        <v>0</v>
      </c>
      <c r="O83" s="31">
        <v>0</v>
      </c>
      <c r="P83" s="122">
        <v>0</v>
      </c>
      <c r="Q83" s="234">
        <v>0</v>
      </c>
      <c r="R83" s="101">
        <v>0</v>
      </c>
      <c r="S83" s="196">
        <v>0</v>
      </c>
      <c r="T83" s="241">
        <f t="shared" si="23"/>
        <v>11270228.765045892</v>
      </c>
      <c r="U83" s="147">
        <f t="shared" si="24"/>
        <v>10435397.004672123</v>
      </c>
      <c r="V83" s="31">
        <f t="shared" si="25"/>
        <v>-0.47823014976639389</v>
      </c>
      <c r="X83" s="77">
        <f t="shared" si="19"/>
        <v>-10329771.234954108</v>
      </c>
      <c r="Y83" s="78">
        <f t="shared" si="20"/>
        <v>-0.47823014976639389</v>
      </c>
      <c r="Z83" s="97">
        <f t="shared" si="21"/>
        <v>0</v>
      </c>
      <c r="AA83" s="79">
        <f t="shared" si="22"/>
        <v>0</v>
      </c>
      <c r="AB83" s="13"/>
      <c r="AC83" s="165"/>
      <c r="AD83" s="13"/>
      <c r="AE83" s="13"/>
      <c r="AF83" s="230">
        <f t="shared" si="26"/>
        <v>9.1655382071670413E-3</v>
      </c>
      <c r="AG83" s="230">
        <f t="shared" si="27"/>
        <v>10329771.234954115</v>
      </c>
      <c r="AI83" s="241">
        <v>21600000.000000007</v>
      </c>
      <c r="AJ83" s="198" t="s">
        <v>339</v>
      </c>
    </row>
    <row r="84" spans="1:36" ht="14.15" hidden="1" customHeight="1" x14ac:dyDescent="0.35">
      <c r="A84" s="38" t="s">
        <v>204</v>
      </c>
      <c r="B84" s="179" t="s">
        <v>205</v>
      </c>
      <c r="C84" s="39">
        <v>21998547.921409089</v>
      </c>
      <c r="D84" s="39">
        <v>20157496.56818182</v>
      </c>
      <c r="E84" s="40" t="s">
        <v>200</v>
      </c>
      <c r="F84" s="22">
        <v>21281000</v>
      </c>
      <c r="G84" s="35">
        <v>19500000</v>
      </c>
      <c r="H84" s="237">
        <v>0.97399999999999998</v>
      </c>
      <c r="I84" s="25">
        <v>0.97399999999999998</v>
      </c>
      <c r="J84" s="31">
        <v>0.97399999999999998</v>
      </c>
      <c r="K84" s="68">
        <v>0.97399999999999998</v>
      </c>
      <c r="L84" s="25">
        <v>0</v>
      </c>
      <c r="M84" s="31" t="s">
        <v>37</v>
      </c>
      <c r="N84" s="203">
        <v>0</v>
      </c>
      <c r="O84" s="31">
        <v>0.12</v>
      </c>
      <c r="P84" s="128">
        <f>1-((1-0.029)*(1-0.112))</f>
        <v>0.13775199999999999</v>
      </c>
      <c r="Q84" s="226">
        <f>1-((1-0.029)*(1-0.112))</f>
        <v>0.13775199999999999</v>
      </c>
      <c r="R84" s="101">
        <v>5.5E-2</v>
      </c>
      <c r="S84" s="227">
        <f>1-((1-0.029)*(1-0.112))-(1-((1-0.029)*(1-((0.112*6+0.02*6)/12))))</f>
        <v>4.4665999999999872E-2</v>
      </c>
      <c r="T84" s="241">
        <f t="shared" si="23"/>
        <v>21783066.410300232</v>
      </c>
      <c r="U84" s="151">
        <f t="shared" si="24"/>
        <v>19960048.634972729</v>
      </c>
      <c r="V84" s="31">
        <f t="shared" si="25"/>
        <v>-9.7952606635072059E-3</v>
      </c>
      <c r="W84" s="90"/>
      <c r="X84" s="77">
        <f t="shared" si="19"/>
        <v>-215481.51110885665</v>
      </c>
      <c r="Y84" s="78">
        <f t="shared" si="20"/>
        <v>-9.7952606635072059E-3</v>
      </c>
      <c r="Z84" s="104">
        <f t="shared" si="21"/>
        <v>502066.41030023247</v>
      </c>
      <c r="AA84" s="80">
        <f t="shared" si="22"/>
        <v>2.3592237690908908E-2</v>
      </c>
      <c r="AB84" s="90"/>
      <c r="AC84" s="158"/>
      <c r="AD84" s="228" t="s">
        <v>370</v>
      </c>
      <c r="AE84" s="90" t="s">
        <v>311</v>
      </c>
      <c r="AF84" s="230">
        <f t="shared" si="26"/>
        <v>0</v>
      </c>
      <c r="AG84" s="230">
        <f t="shared" si="27"/>
        <v>0</v>
      </c>
      <c r="AI84" s="241">
        <v>21281000</v>
      </c>
      <c r="AJ84" s="198" t="s">
        <v>339</v>
      </c>
    </row>
    <row r="85" spans="1:36" ht="14.15" hidden="1" customHeight="1" x14ac:dyDescent="0.35">
      <c r="A85" s="38" t="s">
        <v>207</v>
      </c>
      <c r="B85" s="179" t="s">
        <v>208</v>
      </c>
      <c r="C85" s="39">
        <v>26120000</v>
      </c>
      <c r="D85" s="39">
        <v>23100000</v>
      </c>
      <c r="E85" s="40" t="s">
        <v>340</v>
      </c>
      <c r="F85" s="55">
        <v>23157654.087504189</v>
      </c>
      <c r="G85" s="71">
        <v>21800000</v>
      </c>
      <c r="H85" s="239">
        <v>0.96371668143082101</v>
      </c>
      <c r="I85" s="31">
        <v>0.97</v>
      </c>
      <c r="J85" s="31">
        <v>0.97</v>
      </c>
      <c r="K85" s="223">
        <v>0.96899999999999997</v>
      </c>
      <c r="L85" s="25">
        <f>100%-99.9384920836791%</f>
        <v>6.1507916320902023E-4</v>
      </c>
      <c r="M85" s="31">
        <v>3.0000000000000001E-3</v>
      </c>
      <c r="N85" s="221">
        <v>3.0000000000000001E-3</v>
      </c>
      <c r="O85" s="20">
        <v>0</v>
      </c>
      <c r="P85" s="31">
        <v>0</v>
      </c>
      <c r="Q85" s="234">
        <v>0</v>
      </c>
      <c r="R85" s="101">
        <v>0</v>
      </c>
      <c r="S85" s="202">
        <f>0.6%*F85/AI85</f>
        <v>5.3195223784465971E-3</v>
      </c>
      <c r="T85" s="241">
        <f t="shared" si="23"/>
        <v>23352611.011893734</v>
      </c>
      <c r="U85" s="147">
        <f t="shared" si="24"/>
        <v>21841125.714795101</v>
      </c>
      <c r="V85" s="31">
        <f t="shared" si="25"/>
        <v>-0.1059490424236702</v>
      </c>
      <c r="X85" s="77">
        <f t="shared" si="19"/>
        <v>-2767388.9881062657</v>
      </c>
      <c r="Y85" s="78">
        <f t="shared" si="20"/>
        <v>-0.1059490424236702</v>
      </c>
      <c r="Z85" s="97">
        <f t="shared" si="21"/>
        <v>194956.92438954487</v>
      </c>
      <c r="AA85" s="79">
        <f t="shared" si="22"/>
        <v>8.418681946490562E-3</v>
      </c>
      <c r="AB85" s="90"/>
      <c r="AC85" s="158"/>
      <c r="AD85" s="90" t="s">
        <v>350</v>
      </c>
      <c r="AE85" s="90"/>
      <c r="AF85" s="230">
        <f t="shared" si="26"/>
        <v>1.2792081189667147E-3</v>
      </c>
      <c r="AG85" s="230">
        <f t="shared" si="27"/>
        <v>2962345.9124958105</v>
      </c>
      <c r="AH85" s="81" t="s">
        <v>379</v>
      </c>
      <c r="AI85" s="241">
        <v>26120000</v>
      </c>
      <c r="AJ85" s="198" t="s">
        <v>348</v>
      </c>
    </row>
    <row r="86" spans="1:36" ht="14.15" hidden="1" customHeight="1" x14ac:dyDescent="0.35">
      <c r="A86" s="38" t="s">
        <v>209</v>
      </c>
      <c r="B86" s="179" t="s">
        <v>210</v>
      </c>
      <c r="C86" s="39">
        <v>45752303</v>
      </c>
      <c r="D86" s="39">
        <v>40225179</v>
      </c>
      <c r="E86" s="40" t="s">
        <v>211</v>
      </c>
      <c r="F86" s="35">
        <v>45752303</v>
      </c>
      <c r="G86" s="42">
        <v>40225179</v>
      </c>
      <c r="H86" s="237">
        <v>0.97</v>
      </c>
      <c r="I86" s="25">
        <v>0.97</v>
      </c>
      <c r="J86" s="31">
        <v>0.97</v>
      </c>
      <c r="K86" s="223">
        <v>0.96699999999999997</v>
      </c>
      <c r="L86" s="25">
        <v>0</v>
      </c>
      <c r="M86" s="33">
        <v>0</v>
      </c>
      <c r="N86" s="220">
        <v>0</v>
      </c>
      <c r="O86" s="20">
        <v>0</v>
      </c>
      <c r="P86" s="31">
        <v>0</v>
      </c>
      <c r="Q86" s="220">
        <v>0</v>
      </c>
      <c r="R86" s="101">
        <v>0</v>
      </c>
      <c r="S86" s="196">
        <v>0</v>
      </c>
      <c r="T86" s="241">
        <f t="shared" si="23"/>
        <v>45610801.031958766</v>
      </c>
      <c r="U86" s="147">
        <f t="shared" si="24"/>
        <v>40100771.22989691</v>
      </c>
      <c r="V86" s="31">
        <f t="shared" si="25"/>
        <v>-3.0927835051545649E-3</v>
      </c>
      <c r="X86" s="77">
        <f t="shared" si="19"/>
        <v>-141501.96804123372</v>
      </c>
      <c r="Y86" s="78">
        <f t="shared" si="20"/>
        <v>-3.0927835051545649E-3</v>
      </c>
      <c r="Z86" s="97">
        <f t="shared" si="21"/>
        <v>-141501.96804123372</v>
      </c>
      <c r="AA86" s="79">
        <f t="shared" si="22"/>
        <v>-3.0927835051545649E-3</v>
      </c>
      <c r="AB86" s="90"/>
      <c r="AC86" s="158"/>
      <c r="AD86" s="90"/>
      <c r="AE86" s="90"/>
      <c r="AF86" s="230">
        <f t="shared" si="26"/>
        <v>0</v>
      </c>
      <c r="AG86" s="230">
        <f t="shared" si="27"/>
        <v>0</v>
      </c>
      <c r="AI86" s="241">
        <v>45752303</v>
      </c>
      <c r="AJ86" s="198" t="s">
        <v>339</v>
      </c>
    </row>
    <row r="87" spans="1:36" ht="14.15" hidden="1" customHeight="1" x14ac:dyDescent="0.35">
      <c r="A87" s="38" t="s">
        <v>212</v>
      </c>
      <c r="B87" s="179" t="s">
        <v>213</v>
      </c>
      <c r="C87" s="39">
        <v>32961599.999999996</v>
      </c>
      <c r="D87" s="39">
        <v>29232000</v>
      </c>
      <c r="E87" s="40" t="s">
        <v>340</v>
      </c>
      <c r="F87" s="22">
        <v>32628505.382718954</v>
      </c>
      <c r="G87" s="35">
        <v>30200000</v>
      </c>
      <c r="H87" s="101">
        <v>0.96153540312179997</v>
      </c>
      <c r="I87" s="25">
        <v>0.97</v>
      </c>
      <c r="J87" s="31">
        <v>0.97</v>
      </c>
      <c r="K87" s="124">
        <v>0.98</v>
      </c>
      <c r="L87" s="25">
        <f>100%-99.8810381416966%</f>
        <v>1.1896185830339023E-3</v>
      </c>
      <c r="M87" s="33">
        <v>0.05</v>
      </c>
      <c r="N87" s="210">
        <f>1-99.88%</f>
        <v>1.2000000000000899E-3</v>
      </c>
      <c r="O87" s="20">
        <v>0</v>
      </c>
      <c r="P87" s="31">
        <v>0</v>
      </c>
      <c r="Q87" s="211">
        <v>0</v>
      </c>
      <c r="R87" s="25">
        <f>0.3%+0.5%</f>
        <v>8.0000000000000002E-3</v>
      </c>
      <c r="S87" s="205">
        <f>(0.003*(25-18)/25+0.01*(25-6)/25)*F87/AI87</f>
        <v>8.4215469550503949E-3</v>
      </c>
      <c r="T87" s="241">
        <f t="shared" si="23"/>
        <v>33534789.110135626</v>
      </c>
      <c r="U87" s="147">
        <f t="shared" si="24"/>
        <v>30767973.091476906</v>
      </c>
      <c r="V87" s="31">
        <f t="shared" si="25"/>
        <v>1.7389602147214633E-2</v>
      </c>
      <c r="X87" s="77">
        <f t="shared" si="19"/>
        <v>573189.11013562977</v>
      </c>
      <c r="Y87" s="78">
        <f t="shared" si="20"/>
        <v>1.7389602147214633E-2</v>
      </c>
      <c r="Z87" s="97">
        <f t="shared" si="21"/>
        <v>906283.72741667181</v>
      </c>
      <c r="AA87" s="79">
        <f t="shared" si="22"/>
        <v>2.777582720343259E-2</v>
      </c>
      <c r="AB87" s="90"/>
      <c r="AC87" s="158"/>
      <c r="AD87" s="206" t="s">
        <v>352</v>
      </c>
      <c r="AE87" s="90" t="s">
        <v>312</v>
      </c>
      <c r="AF87" s="230">
        <f t="shared" si="26"/>
        <v>2.1911704640602548E-5</v>
      </c>
      <c r="AG87" s="230">
        <f t="shared" si="27"/>
        <v>71494.617281045765</v>
      </c>
      <c r="AH87" s="81" t="s">
        <v>379</v>
      </c>
      <c r="AI87" s="241">
        <v>32700000</v>
      </c>
      <c r="AJ87" s="198" t="s">
        <v>386</v>
      </c>
    </row>
    <row r="88" spans="1:36" ht="14.15" hidden="1" customHeight="1" x14ac:dyDescent="0.35">
      <c r="A88" s="38" t="s">
        <v>215</v>
      </c>
      <c r="B88" s="179" t="s">
        <v>216</v>
      </c>
      <c r="C88" s="39">
        <v>74400000</v>
      </c>
      <c r="D88" s="39">
        <v>63100000</v>
      </c>
      <c r="E88" s="40" t="s">
        <v>340</v>
      </c>
      <c r="F88" s="42">
        <v>58521743.556282714</v>
      </c>
      <c r="G88" s="35">
        <v>53400000</v>
      </c>
      <c r="H88" s="237">
        <v>0.95995425465936601</v>
      </c>
      <c r="I88" s="25">
        <v>0.97</v>
      </c>
      <c r="J88" s="31">
        <v>0.97</v>
      </c>
      <c r="K88" s="98">
        <v>0.97499999999999998</v>
      </c>
      <c r="L88" s="25">
        <f>100%-99.57%</f>
        <v>4.3000000000000815E-3</v>
      </c>
      <c r="M88" s="33">
        <v>1.0999999999999999E-2</v>
      </c>
      <c r="N88" s="218">
        <f>1-99.57%</f>
        <v>4.3000000000000815E-3</v>
      </c>
      <c r="O88" s="20">
        <v>0</v>
      </c>
      <c r="P88" s="31">
        <v>0</v>
      </c>
      <c r="Q88" s="205">
        <v>0</v>
      </c>
      <c r="R88" s="25">
        <v>0</v>
      </c>
      <c r="S88" s="196">
        <v>0</v>
      </c>
      <c r="T88" s="241">
        <f t="shared" si="23"/>
        <v>59438978.149664618</v>
      </c>
      <c r="U88" s="147">
        <f t="shared" si="24"/>
        <v>53675257.731958762</v>
      </c>
      <c r="V88" s="31">
        <f t="shared" si="25"/>
        <v>-0.20108900336472288</v>
      </c>
      <c r="X88" s="77">
        <f t="shared" si="19"/>
        <v>-14961021.850335382</v>
      </c>
      <c r="Y88" s="78">
        <f t="shared" si="20"/>
        <v>-0.20108900336472288</v>
      </c>
      <c r="Z88" s="97">
        <f t="shared" si="21"/>
        <v>917234.59338190407</v>
      </c>
      <c r="AA88" s="79">
        <f t="shared" si="22"/>
        <v>1.5673398255808334E-2</v>
      </c>
      <c r="AB88" s="90"/>
      <c r="AC88" s="158"/>
      <c r="AD88" s="90"/>
      <c r="AE88" s="90"/>
      <c r="AF88" s="230">
        <f t="shared" si="26"/>
        <v>2.7132234070310181E-3</v>
      </c>
      <c r="AG88" s="230">
        <f t="shared" si="27"/>
        <v>15878256.443717286</v>
      </c>
      <c r="AH88" s="81" t="s">
        <v>379</v>
      </c>
      <c r="AI88" s="241">
        <v>74400000</v>
      </c>
      <c r="AJ88" s="198" t="s">
        <v>348</v>
      </c>
    </row>
    <row r="89" spans="1:36" ht="14.15" hidden="1" customHeight="1" x14ac:dyDescent="0.35">
      <c r="A89" s="38" t="s">
        <v>218</v>
      </c>
      <c r="B89" s="179" t="s">
        <v>219</v>
      </c>
      <c r="C89" s="39">
        <v>35135818.582378216</v>
      </c>
      <c r="D89" s="39">
        <v>29246764.243712191</v>
      </c>
      <c r="E89" s="40" t="s">
        <v>340</v>
      </c>
      <c r="F89" s="22">
        <v>29619774.459618099</v>
      </c>
      <c r="G89" s="35">
        <v>26786847.783791434</v>
      </c>
      <c r="H89" s="237">
        <v>0.95750099868421401</v>
      </c>
      <c r="I89" s="25">
        <v>0.97</v>
      </c>
      <c r="J89" s="31">
        <v>0.97</v>
      </c>
      <c r="K89" s="224">
        <f>97%+0.2%</f>
        <v>0.97199999999999998</v>
      </c>
      <c r="L89" s="25">
        <f>100%-99.0739734%</f>
        <v>9.2602659999999615E-3</v>
      </c>
      <c r="M89" s="31">
        <v>1.4E-2</v>
      </c>
      <c r="N89" s="218">
        <v>9.2999999999999992E-3</v>
      </c>
      <c r="O89" s="20">
        <v>0</v>
      </c>
      <c r="P89" s="33">
        <v>7.0000000000000001E-3</v>
      </c>
      <c r="Q89" s="205">
        <v>0</v>
      </c>
      <c r="R89" s="25">
        <v>5.0000000000000001E-3</v>
      </c>
      <c r="S89" s="205">
        <f>((29-5)/29*0.005)*F89/AI89</f>
        <v>3.4812100579264139E-3</v>
      </c>
      <c r="T89" s="241">
        <f t="shared" si="23"/>
        <v>30171757.153553683</v>
      </c>
      <c r="U89" s="147">
        <f t="shared" si="24"/>
        <v>26934441.051578593</v>
      </c>
      <c r="V89" s="31">
        <f t="shared" si="25"/>
        <v>-0.14128207706861781</v>
      </c>
      <c r="X89" s="77">
        <f t="shared" si="19"/>
        <v>-4964061.4288245328</v>
      </c>
      <c r="Y89" s="78">
        <f t="shared" si="20"/>
        <v>-0.14128207706861781</v>
      </c>
      <c r="Z89" s="104">
        <f t="shared" si="21"/>
        <v>551982.69393558428</v>
      </c>
      <c r="AA89" s="80">
        <f t="shared" si="22"/>
        <v>1.8635614349060147E-2</v>
      </c>
      <c r="AB89" s="103"/>
      <c r="AC89" s="166"/>
      <c r="AD89" s="206" t="s">
        <v>356</v>
      </c>
      <c r="AE89" s="103" t="s">
        <v>313</v>
      </c>
      <c r="AF89" s="230">
        <f t="shared" si="26"/>
        <v>1.8864732826479335E-3</v>
      </c>
      <c r="AG89" s="230">
        <f t="shared" si="27"/>
        <v>5587691.3156127185</v>
      </c>
      <c r="AH89" s="81" t="s">
        <v>379</v>
      </c>
      <c r="AI89" s="241">
        <v>35207465.775230817</v>
      </c>
      <c r="AJ89" s="198" t="s">
        <v>386</v>
      </c>
    </row>
    <row r="90" spans="1:36" ht="14.15" hidden="1" customHeight="1" x14ac:dyDescent="0.35">
      <c r="A90" s="38" t="s">
        <v>218</v>
      </c>
      <c r="B90" s="179" t="s">
        <v>221</v>
      </c>
      <c r="C90" s="39">
        <v>17944959.350047756</v>
      </c>
      <c r="D90" s="39">
        <v>14937235.466518095</v>
      </c>
      <c r="E90" s="40" t="s">
        <v>340</v>
      </c>
      <c r="F90" s="22">
        <v>15052853.608722609</v>
      </c>
      <c r="G90" s="35">
        <v>13613152.216208568</v>
      </c>
      <c r="H90" s="237">
        <v>0.95750099868421401</v>
      </c>
      <c r="I90" s="25">
        <v>0.97</v>
      </c>
      <c r="J90" s="31">
        <v>0.97</v>
      </c>
      <c r="K90" s="224">
        <f>97%+0.2%</f>
        <v>0.97199999999999998</v>
      </c>
      <c r="L90" s="25">
        <f>100%-99.0739734%</f>
        <v>9.2602659999999615E-3</v>
      </c>
      <c r="M90" s="31">
        <v>1.4E-2</v>
      </c>
      <c r="N90" s="218">
        <v>9.2999999999999992E-3</v>
      </c>
      <c r="O90" s="20">
        <v>0</v>
      </c>
      <c r="P90" s="33">
        <v>7.0000000000000001E-3</v>
      </c>
      <c r="Q90" s="205">
        <v>0</v>
      </c>
      <c r="R90" s="146">
        <f>0.5%+0.5%</f>
        <v>0.01</v>
      </c>
      <c r="S90" s="205">
        <f>((29-5)/29*0.01)*F90/AI90</f>
        <v>6.9624201158528277E-3</v>
      </c>
      <c r="T90" s="241">
        <f t="shared" si="23"/>
        <v>15386566.297188109</v>
      </c>
      <c r="U90" s="147">
        <f t="shared" si="24"/>
        <v>13735645.584334379</v>
      </c>
      <c r="V90" s="31">
        <f t="shared" si="25"/>
        <v>-0.14256889653265437</v>
      </c>
      <c r="X90" s="77">
        <f t="shared" si="19"/>
        <v>-2558393.0528596472</v>
      </c>
      <c r="Y90" s="78">
        <f t="shared" si="20"/>
        <v>-0.14256889653265437</v>
      </c>
      <c r="Z90" s="104">
        <f t="shared" si="21"/>
        <v>333712.68846550025</v>
      </c>
      <c r="AA90" s="80">
        <f t="shared" si="22"/>
        <v>2.2169397055195255E-2</v>
      </c>
      <c r="AB90" s="103"/>
      <c r="AC90" s="166"/>
      <c r="AD90" s="206" t="s">
        <v>357</v>
      </c>
      <c r="AE90" s="103" t="s">
        <v>313</v>
      </c>
      <c r="AF90" s="230">
        <f t="shared" si="26"/>
        <v>1.8864732826479335E-3</v>
      </c>
      <c r="AG90" s="230">
        <f t="shared" si="27"/>
        <v>2839680.616046574</v>
      </c>
      <c r="AH90" s="81" t="s">
        <v>379</v>
      </c>
      <c r="AI90" s="241">
        <v>17892534.224769183</v>
      </c>
      <c r="AJ90" s="198" t="s">
        <v>386</v>
      </c>
    </row>
    <row r="91" spans="1:36" ht="14.15" hidden="1" customHeight="1" x14ac:dyDescent="0.35">
      <c r="A91" s="38" t="s">
        <v>222</v>
      </c>
      <c r="B91" s="179" t="s">
        <v>223</v>
      </c>
      <c r="C91" s="39">
        <v>27866932.765258834</v>
      </c>
      <c r="D91" s="39">
        <v>23558096.102395285</v>
      </c>
      <c r="E91" s="40" t="s">
        <v>340</v>
      </c>
      <c r="F91" s="22">
        <v>23222135.661948308</v>
      </c>
      <c r="G91" s="35">
        <v>21248537.093597464</v>
      </c>
      <c r="H91" s="237">
        <v>0.94824696695544797</v>
      </c>
      <c r="I91" s="25">
        <v>0.97</v>
      </c>
      <c r="J91" s="31">
        <v>0.97</v>
      </c>
      <c r="K91" s="224">
        <f>97%+0.2%</f>
        <v>0.97199999999999998</v>
      </c>
      <c r="L91" s="25">
        <f>100%-99.9%</f>
        <v>9.9999999999988987E-4</v>
      </c>
      <c r="M91" s="33">
        <v>1E-3</v>
      </c>
      <c r="N91" s="219">
        <v>1E-3</v>
      </c>
      <c r="O91" s="20">
        <v>0</v>
      </c>
      <c r="P91" s="31">
        <v>0</v>
      </c>
      <c r="Q91" s="213">
        <v>0</v>
      </c>
      <c r="R91" s="25">
        <v>5.0000000000000001E-3</v>
      </c>
      <c r="S91" s="205">
        <f>((31-6)/31*0.005)*F91/AI91</f>
        <v>3.7031770837735113E-3</v>
      </c>
      <c r="T91" s="241">
        <f t="shared" si="23"/>
        <v>23891986.428088885</v>
      </c>
      <c r="U91" s="147">
        <f t="shared" si="24"/>
        <v>21371197.847348295</v>
      </c>
      <c r="V91" s="31">
        <f t="shared" si="25"/>
        <v>-0.14264025289950236</v>
      </c>
      <c r="X91" s="77">
        <f t="shared" si="19"/>
        <v>-3974946.337169949</v>
      </c>
      <c r="Y91" s="78">
        <f t="shared" si="20"/>
        <v>-0.14264025289950236</v>
      </c>
      <c r="Z91" s="97">
        <f t="shared" si="21"/>
        <v>669850.76614057645</v>
      </c>
      <c r="AA91" s="79">
        <f t="shared" si="22"/>
        <v>2.8845355823073199E-2</v>
      </c>
      <c r="AB91" s="91"/>
      <c r="AC91" s="164"/>
      <c r="AD91" s="206" t="s">
        <v>356</v>
      </c>
      <c r="AE91" s="91" t="s">
        <v>314</v>
      </c>
      <c r="AF91" s="230">
        <f t="shared" si="26"/>
        <v>8.8864500211069061E-4</v>
      </c>
      <c r="AG91" s="230">
        <f t="shared" si="27"/>
        <v>2063623.4794326797</v>
      </c>
      <c r="AH91" s="81" t="s">
        <v>379</v>
      </c>
      <c r="AI91" s="241">
        <v>25285759.141380988</v>
      </c>
      <c r="AJ91" s="198" t="s">
        <v>386</v>
      </c>
    </row>
    <row r="92" spans="1:36" ht="14.15" hidden="1" customHeight="1" x14ac:dyDescent="0.35">
      <c r="A92" s="38" t="s">
        <v>222</v>
      </c>
      <c r="B92" s="179" t="s">
        <v>225</v>
      </c>
      <c r="C92" s="39">
        <v>37706835.072282329</v>
      </c>
      <c r="D92" s="39">
        <v>31876534.523290772</v>
      </c>
      <c r="E92" s="40" t="s">
        <v>340</v>
      </c>
      <c r="F92" s="22">
        <v>31421945.386213642</v>
      </c>
      <c r="G92" s="35">
        <v>28751462.906402536</v>
      </c>
      <c r="H92" s="237">
        <v>0.94824696695544797</v>
      </c>
      <c r="I92" s="25">
        <v>0.97</v>
      </c>
      <c r="J92" s="31">
        <v>0.97</v>
      </c>
      <c r="K92" s="224">
        <f>97%+0.2%</f>
        <v>0.97199999999999998</v>
      </c>
      <c r="L92" s="25">
        <f>100%-99.9%</f>
        <v>9.9999999999988987E-4</v>
      </c>
      <c r="M92" s="33">
        <v>1E-3</v>
      </c>
      <c r="N92" s="219">
        <v>1E-3</v>
      </c>
      <c r="O92" s="20">
        <v>0</v>
      </c>
      <c r="P92" s="31">
        <v>0</v>
      </c>
      <c r="Q92" s="213">
        <v>0</v>
      </c>
      <c r="R92" s="25">
        <v>5.0000000000000001E-3</v>
      </c>
      <c r="S92" s="205">
        <f>((31-6)/31*0.005)*F92/AI92</f>
        <v>3.7031770837735122E-3</v>
      </c>
      <c r="T92" s="241">
        <f t="shared" si="23"/>
        <v>32328322.581532143</v>
      </c>
      <c r="U92" s="147">
        <f t="shared" si="24"/>
        <v>28917435.5611789</v>
      </c>
      <c r="V92" s="31">
        <f t="shared" si="25"/>
        <v>-0.14264025289950261</v>
      </c>
      <c r="X92" s="77">
        <f t="shared" si="19"/>
        <v>-5378512.4907501861</v>
      </c>
      <c r="Y92" s="78">
        <f t="shared" si="20"/>
        <v>-0.14264025289950261</v>
      </c>
      <c r="Z92" s="97">
        <f t="shared" si="21"/>
        <v>906377.19531850144</v>
      </c>
      <c r="AA92" s="79">
        <f t="shared" si="22"/>
        <v>2.8845355823073064E-2</v>
      </c>
      <c r="AB92" s="91"/>
      <c r="AC92" s="164"/>
      <c r="AD92" s="206" t="s">
        <v>356</v>
      </c>
      <c r="AE92" s="91" t="s">
        <v>315</v>
      </c>
      <c r="AF92" s="230">
        <f t="shared" si="26"/>
        <v>8.8864500211068844E-4</v>
      </c>
      <c r="AG92" s="230">
        <f t="shared" si="27"/>
        <v>2792295.4724053778</v>
      </c>
      <c r="AH92" s="81" t="s">
        <v>379</v>
      </c>
      <c r="AI92" s="241">
        <v>34214240.858619019</v>
      </c>
      <c r="AJ92" s="198" t="s">
        <v>386</v>
      </c>
    </row>
    <row r="93" spans="1:36" ht="14.15" hidden="1" customHeight="1" x14ac:dyDescent="0.35">
      <c r="A93" s="38" t="s">
        <v>226</v>
      </c>
      <c r="B93" s="179" t="s">
        <v>227</v>
      </c>
      <c r="C93" s="39">
        <v>15059000</v>
      </c>
      <c r="D93" s="39">
        <v>14339000</v>
      </c>
      <c r="E93" s="40" t="s">
        <v>27</v>
      </c>
      <c r="F93" s="42">
        <f>C93*(1-0.64%)</f>
        <v>14962622.4</v>
      </c>
      <c r="G93" s="42">
        <f>D93*(1-0.64%)</f>
        <v>14247230.4</v>
      </c>
      <c r="H93" s="239">
        <v>0.98499999999999999</v>
      </c>
      <c r="I93" s="25">
        <v>0.98499999999999999</v>
      </c>
      <c r="J93" s="31">
        <v>0.98499999999999999</v>
      </c>
      <c r="K93" s="68">
        <v>0.98499999999999999</v>
      </c>
      <c r="L93" s="25">
        <v>0</v>
      </c>
      <c r="M93" s="31" t="s">
        <v>47</v>
      </c>
      <c r="N93" s="31">
        <v>0</v>
      </c>
      <c r="O93" s="20">
        <v>0</v>
      </c>
      <c r="P93" s="31" t="s">
        <v>47</v>
      </c>
      <c r="Q93" s="26">
        <v>0</v>
      </c>
      <c r="R93" s="25">
        <v>0</v>
      </c>
      <c r="S93" s="196">
        <v>0</v>
      </c>
      <c r="T93" s="241">
        <f t="shared" si="23"/>
        <v>14962622.4</v>
      </c>
      <c r="U93" s="147">
        <f t="shared" si="24"/>
        <v>14247230.4</v>
      </c>
      <c r="V93" s="47">
        <f t="shared" si="25"/>
        <v>-6.3999999999999752E-3</v>
      </c>
      <c r="W93" s="13" t="s">
        <v>358</v>
      </c>
      <c r="X93" s="77">
        <f t="shared" si="19"/>
        <v>-96377.599999999627</v>
      </c>
      <c r="Y93" s="78">
        <f t="shared" si="20"/>
        <v>-6.3999999999999752E-3</v>
      </c>
      <c r="Z93" s="97">
        <f t="shared" si="21"/>
        <v>0</v>
      </c>
      <c r="AA93" s="79">
        <f t="shared" si="22"/>
        <v>0</v>
      </c>
      <c r="AB93" s="90"/>
      <c r="AC93" s="158"/>
      <c r="AD93" s="207" t="s">
        <v>47</v>
      </c>
      <c r="AE93" s="207" t="s">
        <v>47</v>
      </c>
      <c r="AF93" s="230">
        <f t="shared" si="26"/>
        <v>6.4412238325282096E-5</v>
      </c>
      <c r="AG93" s="230">
        <f t="shared" si="27"/>
        <v>96377.599999999627</v>
      </c>
      <c r="AI93" s="241">
        <v>15059000</v>
      </c>
      <c r="AJ93" s="198" t="s">
        <v>339</v>
      </c>
    </row>
    <row r="94" spans="1:36" ht="14.15" hidden="1" customHeight="1" x14ac:dyDescent="0.35">
      <c r="A94" s="38" t="s">
        <v>229</v>
      </c>
      <c r="B94" s="179" t="s">
        <v>230</v>
      </c>
      <c r="C94" s="39">
        <v>5929000</v>
      </c>
      <c r="D94" s="39">
        <v>5723000</v>
      </c>
      <c r="E94" s="40" t="s">
        <v>27</v>
      </c>
      <c r="F94" s="42">
        <f>C94*(1-0.64%)</f>
        <v>5891054.4000000004</v>
      </c>
      <c r="G94" s="42">
        <f>D94*(1-0.64%)</f>
        <v>5686372.7999999998</v>
      </c>
      <c r="H94" s="239">
        <v>0.98499999999999999</v>
      </c>
      <c r="I94" s="25">
        <v>0.98499999999999999</v>
      </c>
      <c r="J94" s="31">
        <v>0.98499999999999999</v>
      </c>
      <c r="K94" s="68">
        <v>0.98499999999999999</v>
      </c>
      <c r="L94" s="25">
        <v>0</v>
      </c>
      <c r="M94" s="31" t="s">
        <v>47</v>
      </c>
      <c r="N94" s="31">
        <v>0</v>
      </c>
      <c r="O94" s="20">
        <v>0</v>
      </c>
      <c r="P94" s="31" t="s">
        <v>47</v>
      </c>
      <c r="Q94" s="26">
        <v>0</v>
      </c>
      <c r="R94" s="25">
        <v>0</v>
      </c>
      <c r="S94" s="196">
        <v>0</v>
      </c>
      <c r="T94" s="241">
        <f t="shared" si="23"/>
        <v>5891054.4000000004</v>
      </c>
      <c r="U94" s="147">
        <f t="shared" si="24"/>
        <v>5686372.7999999998</v>
      </c>
      <c r="V94" s="208">
        <f t="shared" si="25"/>
        <v>-6.399999999999937E-3</v>
      </c>
      <c r="W94" s="13" t="s">
        <v>358</v>
      </c>
      <c r="X94" s="77">
        <f t="shared" si="19"/>
        <v>-37945.599999999627</v>
      </c>
      <c r="Y94" s="78">
        <f t="shared" si="20"/>
        <v>-6.399999999999937E-3</v>
      </c>
      <c r="Z94" s="97">
        <f t="shared" si="21"/>
        <v>0</v>
      </c>
      <c r="AA94" s="79">
        <f t="shared" si="22"/>
        <v>0</v>
      </c>
      <c r="AB94" s="90"/>
      <c r="AC94" s="158"/>
      <c r="AD94" s="207" t="s">
        <v>47</v>
      </c>
      <c r="AE94" s="207" t="s">
        <v>47</v>
      </c>
      <c r="AF94" s="230">
        <f t="shared" si="26"/>
        <v>6.4412238325282096E-5</v>
      </c>
      <c r="AG94" s="230">
        <f t="shared" si="27"/>
        <v>37945.599999999627</v>
      </c>
      <c r="AI94" s="241">
        <v>5929000</v>
      </c>
      <c r="AJ94" s="198" t="s">
        <v>339</v>
      </c>
    </row>
    <row r="95" spans="1:36" ht="14.15" hidden="1" customHeight="1" x14ac:dyDescent="0.35">
      <c r="A95" s="38" t="s">
        <v>232</v>
      </c>
      <c r="B95" s="181" t="s">
        <v>233</v>
      </c>
      <c r="C95" s="129">
        <v>34750000</v>
      </c>
      <c r="D95" s="129" t="s">
        <v>47</v>
      </c>
      <c r="E95" s="130" t="s">
        <v>47</v>
      </c>
      <c r="F95" s="190" t="s">
        <v>47</v>
      </c>
      <c r="G95" s="190" t="s">
        <v>47</v>
      </c>
      <c r="H95" s="138" t="s">
        <v>47</v>
      </c>
      <c r="I95" s="138" t="s">
        <v>47</v>
      </c>
      <c r="J95" s="144" t="s">
        <v>47</v>
      </c>
      <c r="K95" s="139"/>
      <c r="L95" s="138" t="s">
        <v>47</v>
      </c>
      <c r="M95" s="144" t="s">
        <v>47</v>
      </c>
      <c r="N95" s="144" t="s">
        <v>47</v>
      </c>
      <c r="O95" s="145" t="s">
        <v>47</v>
      </c>
      <c r="P95" s="144" t="s">
        <v>47</v>
      </c>
      <c r="Q95" s="139"/>
      <c r="R95" s="138" t="s">
        <v>47</v>
      </c>
      <c r="S95" s="139"/>
      <c r="T95" s="139"/>
      <c r="U95" s="148" t="e">
        <f t="shared" si="24"/>
        <v>#VALUE!</v>
      </c>
      <c r="V95" s="144" t="s">
        <v>47</v>
      </c>
      <c r="W95" s="160" t="s">
        <v>234</v>
      </c>
      <c r="X95" s="140">
        <f t="shared" si="19"/>
        <v>-34750000</v>
      </c>
      <c r="Y95" s="141">
        <f t="shared" si="20"/>
        <v>-1</v>
      </c>
      <c r="Z95" s="161" t="e">
        <f t="shared" si="21"/>
        <v>#VALUE!</v>
      </c>
      <c r="AA95" s="142" t="e">
        <f t="shared" si="22"/>
        <v>#VALUE!</v>
      </c>
      <c r="AB95" s="143"/>
      <c r="AC95" s="162"/>
      <c r="AD95" s="90"/>
      <c r="AE95" s="90"/>
      <c r="AF95" s="130" t="s">
        <v>47</v>
      </c>
      <c r="AG95" s="130" t="s">
        <v>47</v>
      </c>
      <c r="AH95" s="130" t="s">
        <v>47</v>
      </c>
      <c r="AI95" s="241" t="s">
        <v>47</v>
      </c>
      <c r="AJ95" s="198" t="s">
        <v>47</v>
      </c>
    </row>
    <row r="96" spans="1:36" ht="14.15" hidden="1" customHeight="1" x14ac:dyDescent="0.35">
      <c r="A96" s="38" t="s">
        <v>235</v>
      </c>
      <c r="B96" s="180" t="s">
        <v>236</v>
      </c>
      <c r="C96" s="39">
        <v>97100000</v>
      </c>
      <c r="D96" s="39">
        <v>87000000</v>
      </c>
      <c r="E96" s="40" t="s">
        <v>237</v>
      </c>
      <c r="F96" s="22">
        <v>97100000</v>
      </c>
      <c r="G96" s="35">
        <v>87000000</v>
      </c>
      <c r="H96" s="237">
        <v>0.96699999999999997</v>
      </c>
      <c r="I96" s="25">
        <v>0.96699999999999997</v>
      </c>
      <c r="J96" s="31">
        <v>0.96699999999999997</v>
      </c>
      <c r="K96" s="68">
        <v>0.96699999999999997</v>
      </c>
      <c r="L96" s="25">
        <v>4.0000000000000001E-3</v>
      </c>
      <c r="M96" s="31">
        <v>4.0000000000000001E-3</v>
      </c>
      <c r="N96" s="220">
        <v>4.0000000000000001E-3</v>
      </c>
      <c r="O96" s="20">
        <v>0</v>
      </c>
      <c r="P96" s="31">
        <v>0</v>
      </c>
      <c r="Q96" s="220">
        <v>0</v>
      </c>
      <c r="R96" s="25">
        <v>0</v>
      </c>
      <c r="S96" s="196">
        <v>0</v>
      </c>
      <c r="T96" s="241">
        <f t="shared" si="23"/>
        <v>97100000</v>
      </c>
      <c r="U96" s="147">
        <f t="shared" si="24"/>
        <v>87000000</v>
      </c>
      <c r="V96" s="31" t="s">
        <v>47</v>
      </c>
      <c r="W96" s="13" t="s">
        <v>238</v>
      </c>
      <c r="X96" s="77">
        <f t="shared" si="19"/>
        <v>0</v>
      </c>
      <c r="Y96" s="78">
        <f t="shared" si="20"/>
        <v>0</v>
      </c>
      <c r="Z96" s="97">
        <f t="shared" si="21"/>
        <v>0</v>
      </c>
      <c r="AA96" s="79">
        <f t="shared" si="22"/>
        <v>0</v>
      </c>
      <c r="AB96" s="90"/>
      <c r="AC96" s="158"/>
      <c r="AD96" s="90"/>
      <c r="AE96" s="90"/>
      <c r="AF96" s="230">
        <f t="shared" ref="AF96" si="28">(AI96/F96-1)%</f>
        <v>0</v>
      </c>
      <c r="AG96" s="230">
        <f t="shared" ref="AG96" si="29">AI96-F96</f>
        <v>0</v>
      </c>
      <c r="AI96" s="241">
        <v>97100000</v>
      </c>
      <c r="AJ96" s="198" t="s">
        <v>339</v>
      </c>
    </row>
    <row r="97" spans="1:36" ht="14.15" hidden="1" customHeight="1" x14ac:dyDescent="0.35">
      <c r="A97" s="38" t="s">
        <v>239</v>
      </c>
      <c r="B97" s="179" t="s">
        <v>240</v>
      </c>
      <c r="C97" s="39">
        <v>30289289.289289288</v>
      </c>
      <c r="D97" s="39">
        <v>26926926.926926926</v>
      </c>
      <c r="E97" s="40" t="s">
        <v>241</v>
      </c>
      <c r="F97" s="22">
        <v>30259000</v>
      </c>
      <c r="G97" s="35">
        <v>26900000</v>
      </c>
      <c r="H97" s="237">
        <v>0.97</v>
      </c>
      <c r="I97" s="25">
        <v>0.97</v>
      </c>
      <c r="J97" s="31">
        <v>0.97</v>
      </c>
      <c r="K97" s="68">
        <v>0.97199999999999998</v>
      </c>
      <c r="L97" s="25">
        <v>1E-3</v>
      </c>
      <c r="M97" s="31">
        <v>0</v>
      </c>
      <c r="N97" s="220">
        <v>1E-3</v>
      </c>
      <c r="O97" s="20">
        <v>0</v>
      </c>
      <c r="P97" s="31">
        <v>0</v>
      </c>
      <c r="Q97" s="220">
        <v>0</v>
      </c>
      <c r="R97" s="25">
        <v>0</v>
      </c>
      <c r="S97" s="196">
        <v>0</v>
      </c>
      <c r="T97" s="241">
        <f t="shared" si="23"/>
        <v>30321389.69072165</v>
      </c>
      <c r="U97" s="147">
        <f t="shared" si="24"/>
        <v>26955463.917525772</v>
      </c>
      <c r="V97" s="31">
        <f>(T97-C97)/C97</f>
        <v>1.0597938144330313E-3</v>
      </c>
      <c r="X97" s="77">
        <f t="shared" si="19"/>
        <v>32100.401432361454</v>
      </c>
      <c r="Y97" s="78">
        <f t="shared" si="20"/>
        <v>1.0597938144330313E-3</v>
      </c>
      <c r="Z97" s="97">
        <f t="shared" si="21"/>
        <v>62389.690721649677</v>
      </c>
      <c r="AA97" s="79">
        <f t="shared" si="22"/>
        <v>2.0618556701030993E-3</v>
      </c>
      <c r="AB97" s="90"/>
      <c r="AC97" s="158"/>
      <c r="AD97" s="90"/>
      <c r="AE97" s="90"/>
      <c r="AF97" s="230">
        <f t="shared" ref="AF97:AF107" si="30">(AI97/F97-1)%</f>
        <v>0</v>
      </c>
      <c r="AG97" s="230">
        <f t="shared" ref="AG97:AG107" si="31">AI97-F97</f>
        <v>0</v>
      </c>
      <c r="AI97" s="241">
        <v>30259000</v>
      </c>
      <c r="AJ97" s="198" t="s">
        <v>339</v>
      </c>
    </row>
    <row r="98" spans="1:36" ht="14.15" hidden="1" customHeight="1" x14ac:dyDescent="0.35">
      <c r="A98" s="38" t="s">
        <v>242</v>
      </c>
      <c r="B98" s="179" t="s">
        <v>330</v>
      </c>
      <c r="C98" s="39">
        <v>43875502.008032128</v>
      </c>
      <c r="D98" s="39">
        <v>37248995.983935744</v>
      </c>
      <c r="E98" s="40" t="s">
        <v>244</v>
      </c>
      <c r="F98" s="22">
        <v>43700000</v>
      </c>
      <c r="G98" s="35">
        <v>37100000</v>
      </c>
      <c r="H98" s="237">
        <v>0.97</v>
      </c>
      <c r="I98" s="25">
        <v>0.97</v>
      </c>
      <c r="J98" s="31">
        <v>0.97</v>
      </c>
      <c r="K98" s="68">
        <v>0.97499999999999998</v>
      </c>
      <c r="L98" s="25">
        <v>0</v>
      </c>
      <c r="M98" s="31">
        <v>0</v>
      </c>
      <c r="N98" s="220">
        <v>0</v>
      </c>
      <c r="O98" s="20">
        <v>4.0000000000000001E-3</v>
      </c>
      <c r="P98" s="31">
        <v>0</v>
      </c>
      <c r="Q98" s="220">
        <v>0</v>
      </c>
      <c r="R98" s="25">
        <v>0</v>
      </c>
      <c r="S98" s="196">
        <v>0</v>
      </c>
      <c r="T98" s="241">
        <f t="shared" si="23"/>
        <v>44101664.38951683</v>
      </c>
      <c r="U98" s="147">
        <f t="shared" si="24"/>
        <v>37441001.117873557</v>
      </c>
      <c r="V98" s="31">
        <f>(T98-C98)/C98</f>
        <v>5.154639175257744E-3</v>
      </c>
      <c r="W98" s="13" t="s">
        <v>238</v>
      </c>
      <c r="X98" s="77">
        <f t="shared" si="19"/>
        <v>226162.38148470223</v>
      </c>
      <c r="Y98" s="78">
        <f t="shared" si="20"/>
        <v>5.154639175257744E-3</v>
      </c>
      <c r="Z98" s="97">
        <f t="shared" si="21"/>
        <v>401664.38951683044</v>
      </c>
      <c r="AA98" s="79">
        <f t="shared" si="22"/>
        <v>9.1914047944354794E-3</v>
      </c>
      <c r="AB98" s="90"/>
      <c r="AC98" s="158"/>
      <c r="AD98" s="90"/>
      <c r="AE98" s="90" t="s">
        <v>245</v>
      </c>
      <c r="AF98" s="230">
        <f t="shared" si="30"/>
        <v>0</v>
      </c>
      <c r="AG98" s="230">
        <f t="shared" si="31"/>
        <v>0</v>
      </c>
      <c r="AI98" s="241">
        <v>43700000</v>
      </c>
      <c r="AJ98" s="198" t="s">
        <v>339</v>
      </c>
    </row>
    <row r="99" spans="1:36" ht="14.15" hidden="1" customHeight="1" x14ac:dyDescent="0.35">
      <c r="A99" s="38" t="s">
        <v>246</v>
      </c>
      <c r="B99" s="179" t="s">
        <v>331</v>
      </c>
      <c r="C99" s="42">
        <v>14838908.844999257</v>
      </c>
      <c r="D99" s="42">
        <v>12692632.752705101</v>
      </c>
      <c r="E99" s="40" t="s">
        <v>248</v>
      </c>
      <c r="F99" s="54">
        <f>40140000</f>
        <v>40140000</v>
      </c>
      <c r="G99" s="71">
        <f>34300000</f>
        <v>34300000</v>
      </c>
      <c r="H99" s="101">
        <v>0.97</v>
      </c>
      <c r="I99" s="25">
        <v>0.97</v>
      </c>
      <c r="J99" s="31">
        <v>0.97</v>
      </c>
      <c r="K99" s="68">
        <v>0.97199999999999998</v>
      </c>
      <c r="L99" s="31">
        <v>0</v>
      </c>
      <c r="M99" s="31">
        <v>0</v>
      </c>
      <c r="N99" s="220">
        <v>0</v>
      </c>
      <c r="O99" s="31">
        <v>0</v>
      </c>
      <c r="P99" s="31">
        <v>0</v>
      </c>
      <c r="Q99" s="220">
        <v>0</v>
      </c>
      <c r="R99" s="25">
        <v>0</v>
      </c>
      <c r="S99" s="196">
        <v>0</v>
      </c>
      <c r="T99" s="241">
        <f t="shared" si="23"/>
        <v>40222762.886597939</v>
      </c>
      <c r="U99" s="147">
        <f t="shared" si="24"/>
        <v>34370721.649484538</v>
      </c>
      <c r="V99" s="31" t="s">
        <v>47</v>
      </c>
      <c r="W99" s="13" t="s">
        <v>249</v>
      </c>
      <c r="X99" s="77">
        <f t="shared" si="19"/>
        <v>25383854.041598681</v>
      </c>
      <c r="Y99" s="78">
        <f t="shared" ref="Y99:Y102" si="32">X99/C99</f>
        <v>1.7106280729093564</v>
      </c>
      <c r="Z99" s="97">
        <f t="shared" si="21"/>
        <v>82762.886597938836</v>
      </c>
      <c r="AA99" s="79">
        <f t="shared" ref="AA99:AA102" si="33">Z99/F99</f>
        <v>2.0618556701031102E-3</v>
      </c>
      <c r="AB99" s="90"/>
      <c r="AC99" s="158"/>
      <c r="AD99" s="90"/>
      <c r="AE99" s="90"/>
      <c r="AF99" s="230">
        <f t="shared" si="30"/>
        <v>-0.01</v>
      </c>
      <c r="AG99" s="230">
        <f t="shared" si="31"/>
        <v>-40140000</v>
      </c>
      <c r="AH99" t="s">
        <v>389</v>
      </c>
      <c r="AI99" s="241"/>
      <c r="AJ99" s="198" t="s">
        <v>339</v>
      </c>
    </row>
    <row r="100" spans="1:36" ht="14.15" hidden="1" customHeight="1" x14ac:dyDescent="0.35">
      <c r="A100" s="38"/>
      <c r="B100" s="179" t="s">
        <v>250</v>
      </c>
      <c r="C100" s="42">
        <v>1158404.1867231613</v>
      </c>
      <c r="D100" s="42">
        <v>1079406.9957661091</v>
      </c>
      <c r="E100" s="40" t="s">
        <v>361</v>
      </c>
      <c r="F100" s="22">
        <v>16572000</v>
      </c>
      <c r="G100" s="71">
        <f>F100*(1-_xlfn.NORM.INV(90%,0,1)*6.5%)</f>
        <v>15191538.284626666</v>
      </c>
      <c r="H100" s="101">
        <v>0.98499999999999999</v>
      </c>
      <c r="I100" s="25">
        <v>0.98499999999999999</v>
      </c>
      <c r="J100" s="31" t="s">
        <v>47</v>
      </c>
      <c r="K100" s="68">
        <v>0.98499999999999999</v>
      </c>
      <c r="L100" s="35">
        <v>0</v>
      </c>
      <c r="M100" s="31" t="s">
        <v>47</v>
      </c>
      <c r="N100" s="31">
        <v>0</v>
      </c>
      <c r="O100" s="21">
        <v>0</v>
      </c>
      <c r="P100" s="31" t="s">
        <v>47</v>
      </c>
      <c r="Q100" s="10">
        <v>0</v>
      </c>
      <c r="R100" s="25">
        <v>0</v>
      </c>
      <c r="S100" s="196">
        <v>0</v>
      </c>
      <c r="T100" s="241">
        <f t="shared" si="23"/>
        <v>16572000</v>
      </c>
      <c r="U100" s="147">
        <f t="shared" si="24"/>
        <v>15191538.284626666</v>
      </c>
      <c r="V100" s="31" t="s">
        <v>47</v>
      </c>
      <c r="W100" s="13" t="s">
        <v>362</v>
      </c>
      <c r="X100" s="77">
        <f t="shared" si="19"/>
        <v>15413595.813276839</v>
      </c>
      <c r="Y100" s="78">
        <f t="shared" si="32"/>
        <v>13.305887521762232</v>
      </c>
      <c r="Z100" s="97">
        <f t="shared" si="21"/>
        <v>0</v>
      </c>
      <c r="AA100" s="79">
        <f t="shared" si="33"/>
        <v>0</v>
      </c>
      <c r="AB100" s="90"/>
      <c r="AC100" s="158"/>
      <c r="AD100" s="90"/>
      <c r="AE100" s="90"/>
      <c r="AF100" s="230">
        <f t="shared" si="30"/>
        <v>-0.01</v>
      </c>
      <c r="AG100" s="230">
        <f t="shared" si="31"/>
        <v>-16572000</v>
      </c>
      <c r="AH100" t="s">
        <v>389</v>
      </c>
      <c r="AI100" s="241"/>
      <c r="AJ100" s="198" t="s">
        <v>339</v>
      </c>
    </row>
    <row r="101" spans="1:36" ht="14.15" hidden="1" customHeight="1" x14ac:dyDescent="0.35">
      <c r="A101" s="38"/>
      <c r="B101" s="179" t="s">
        <v>253</v>
      </c>
      <c r="C101" s="42">
        <v>3081729.1000000006</v>
      </c>
      <c r="D101" s="42">
        <v>2824801.8530708523</v>
      </c>
      <c r="E101" s="40" t="s">
        <v>359</v>
      </c>
      <c r="F101" s="22">
        <v>22798800</v>
      </c>
      <c r="G101" s="35">
        <v>20897900</v>
      </c>
      <c r="H101" s="101">
        <v>0.98499999999999999</v>
      </c>
      <c r="I101" s="25">
        <v>0.98499999999999999</v>
      </c>
      <c r="J101" s="31" t="s">
        <v>47</v>
      </c>
      <c r="K101" s="68">
        <v>0.98499999999999999</v>
      </c>
      <c r="L101" s="35">
        <v>0</v>
      </c>
      <c r="M101" s="31" t="s">
        <v>47</v>
      </c>
      <c r="N101" s="31">
        <v>0</v>
      </c>
      <c r="O101" s="21">
        <v>0</v>
      </c>
      <c r="P101" s="31" t="s">
        <v>47</v>
      </c>
      <c r="Q101" s="10">
        <v>0</v>
      </c>
      <c r="R101" s="25">
        <v>0</v>
      </c>
      <c r="S101" s="196">
        <v>0</v>
      </c>
      <c r="T101" s="241">
        <f t="shared" si="23"/>
        <v>22798800</v>
      </c>
      <c r="U101" s="147">
        <f t="shared" si="24"/>
        <v>20897900</v>
      </c>
      <c r="V101" s="31" t="s">
        <v>47</v>
      </c>
      <c r="W101" s="13" t="s">
        <v>360</v>
      </c>
      <c r="X101" s="77">
        <f t="shared" si="19"/>
        <v>19717070.899999999</v>
      </c>
      <c r="Y101" s="78">
        <f t="shared" si="32"/>
        <v>6.3980545532052107</v>
      </c>
      <c r="Z101" s="97">
        <f t="shared" si="21"/>
        <v>0</v>
      </c>
      <c r="AA101" s="79">
        <f t="shared" si="33"/>
        <v>0</v>
      </c>
      <c r="AB101" s="90"/>
      <c r="AC101" s="158"/>
      <c r="AD101" s="207" t="s">
        <v>47</v>
      </c>
      <c r="AE101" s="207" t="s">
        <v>47</v>
      </c>
      <c r="AF101" s="230">
        <f t="shared" si="30"/>
        <v>-0.01</v>
      </c>
      <c r="AG101" s="230">
        <f t="shared" si="31"/>
        <v>-22798800</v>
      </c>
      <c r="AH101" t="s">
        <v>389</v>
      </c>
      <c r="AI101" s="241"/>
      <c r="AJ101" s="198" t="s">
        <v>339</v>
      </c>
    </row>
    <row r="102" spans="1:36" ht="14.15" hidden="1" customHeight="1" x14ac:dyDescent="0.35">
      <c r="A102" s="38" t="s">
        <v>256</v>
      </c>
      <c r="B102" s="179" t="s">
        <v>257</v>
      </c>
      <c r="C102" s="42">
        <v>20044795.676750604</v>
      </c>
      <c r="D102" s="42">
        <v>17546812.020985331</v>
      </c>
      <c r="E102" s="40" t="s">
        <v>258</v>
      </c>
      <c r="F102" s="22">
        <f>32900000</f>
        <v>32900000</v>
      </c>
      <c r="G102" s="35">
        <f>28800000</f>
        <v>28800000</v>
      </c>
      <c r="H102" s="101">
        <v>0.96699999999999997</v>
      </c>
      <c r="I102" s="25">
        <v>0.96699999999999997</v>
      </c>
      <c r="J102" s="31">
        <v>0.96699999999999997</v>
      </c>
      <c r="K102" s="68">
        <v>0.97199999999999998</v>
      </c>
      <c r="L102" s="25">
        <v>0.111</v>
      </c>
      <c r="M102" s="31">
        <v>0.111</v>
      </c>
      <c r="N102" s="222">
        <v>0.1341</v>
      </c>
      <c r="O102" s="31">
        <v>0</v>
      </c>
      <c r="P102" s="31">
        <v>0</v>
      </c>
      <c r="Q102" s="220">
        <v>0</v>
      </c>
      <c r="R102" s="25">
        <v>0</v>
      </c>
      <c r="S102" s="196">
        <v>0</v>
      </c>
      <c r="T102" s="241">
        <f t="shared" si="23"/>
        <v>32210811.585470118</v>
      </c>
      <c r="U102" s="147">
        <f t="shared" si="24"/>
        <v>28196698.287584785</v>
      </c>
      <c r="V102" s="31" t="s">
        <v>47</v>
      </c>
      <c r="W102" s="13" t="s">
        <v>259</v>
      </c>
      <c r="X102" s="77">
        <f t="shared" si="19"/>
        <v>12166015.908719514</v>
      </c>
      <c r="Y102" s="78">
        <f t="shared" si="32"/>
        <v>0.60694137794732095</v>
      </c>
      <c r="Z102" s="97">
        <f t="shared" si="21"/>
        <v>-689188.41452988237</v>
      </c>
      <c r="AA102" s="79">
        <f t="shared" si="33"/>
        <v>-2.0947976125528341E-2</v>
      </c>
      <c r="AB102" s="90"/>
      <c r="AC102" s="158"/>
      <c r="AD102" s="90"/>
      <c r="AE102" s="90"/>
      <c r="AF102" s="230">
        <f t="shared" si="30"/>
        <v>-0.01</v>
      </c>
      <c r="AG102" s="230">
        <f t="shared" si="31"/>
        <v>-32900000</v>
      </c>
      <c r="AH102" t="s">
        <v>389</v>
      </c>
      <c r="AI102" s="241"/>
      <c r="AJ102" s="198" t="s">
        <v>339</v>
      </c>
    </row>
    <row r="103" spans="1:36" hidden="1" x14ac:dyDescent="0.35">
      <c r="A103" s="38" t="s">
        <v>256</v>
      </c>
      <c r="B103" s="179" t="s">
        <v>332</v>
      </c>
      <c r="C103" s="42"/>
      <c r="D103" s="42"/>
      <c r="E103" s="40" t="s">
        <v>344</v>
      </c>
      <c r="F103" s="191">
        <v>24010000</v>
      </c>
      <c r="G103" s="35">
        <v>21033000</v>
      </c>
      <c r="H103" s="101">
        <f>1-0.045</f>
        <v>0.95499999999999996</v>
      </c>
      <c r="I103" s="25">
        <v>0.95899999999999996</v>
      </c>
      <c r="J103" s="31" t="s">
        <v>47</v>
      </c>
      <c r="K103" s="68">
        <v>0.97199999999999998</v>
      </c>
      <c r="L103" s="25">
        <v>1.0999999999999999E-2</v>
      </c>
      <c r="M103" s="31">
        <v>1.0999999999999999E-2</v>
      </c>
      <c r="N103" s="31">
        <v>1.0999999999999999E-2</v>
      </c>
      <c r="O103" s="31">
        <v>0</v>
      </c>
      <c r="P103" s="31">
        <v>0</v>
      </c>
      <c r="Q103" s="26">
        <v>0</v>
      </c>
      <c r="R103" s="25" t="s">
        <v>47</v>
      </c>
      <c r="S103" s="196">
        <v>0</v>
      </c>
      <c r="T103" s="241">
        <f t="shared" si="23"/>
        <v>24437403.141361259</v>
      </c>
      <c r="U103" s="193">
        <f t="shared" si="24"/>
        <v>21318118.873826906</v>
      </c>
      <c r="V103" s="31" t="s">
        <v>47</v>
      </c>
      <c r="X103" s="77">
        <f t="shared" ref="X103:X107" si="34">T103-C103</f>
        <v>24437403.141361259</v>
      </c>
      <c r="Y103" s="78" t="e">
        <f t="shared" ref="Y103:Y107" si="35">X103/C103</f>
        <v>#DIV/0!</v>
      </c>
      <c r="Z103" s="97">
        <f t="shared" ref="Z103:Z107" si="36">T103-F103</f>
        <v>427403.14136125892</v>
      </c>
      <c r="AA103" s="79">
        <f t="shared" ref="AA103:AA107" si="37">Z103/F103</f>
        <v>1.7801047120418946E-2</v>
      </c>
      <c r="AB103" s="90"/>
      <c r="AC103" s="158"/>
      <c r="AD103" s="90"/>
      <c r="AE103" s="90"/>
      <c r="AF103" s="230">
        <f t="shared" si="30"/>
        <v>-0.01</v>
      </c>
      <c r="AG103" s="230">
        <f t="shared" si="31"/>
        <v>-24010000</v>
      </c>
      <c r="AH103" t="s">
        <v>390</v>
      </c>
      <c r="AI103" s="241"/>
      <c r="AJ103" s="198" t="s">
        <v>339</v>
      </c>
    </row>
    <row r="104" spans="1:36" hidden="1" x14ac:dyDescent="0.35">
      <c r="A104" s="38" t="s">
        <v>256</v>
      </c>
      <c r="B104" s="179" t="s">
        <v>335</v>
      </c>
      <c r="C104" s="42"/>
      <c r="D104" s="42"/>
      <c r="E104" s="40" t="s">
        <v>345</v>
      </c>
      <c r="F104" s="191">
        <f>42100000*SUM('BP2022 - Distribution mensuelle'!DA10:DA14)</f>
        <v>17766200</v>
      </c>
      <c r="G104" s="35">
        <f>36800000*SUM('BP2022 - Distribution mensuelle'!DA10:DA14)</f>
        <v>15529600</v>
      </c>
      <c r="H104" s="237">
        <v>0.96699999999999997</v>
      </c>
      <c r="I104" s="25">
        <v>0.97</v>
      </c>
      <c r="J104" s="31" t="s">
        <v>47</v>
      </c>
      <c r="K104" s="68">
        <v>0.97</v>
      </c>
      <c r="L104" s="25">
        <v>0</v>
      </c>
      <c r="M104" s="31">
        <v>0</v>
      </c>
      <c r="N104" s="31">
        <v>0</v>
      </c>
      <c r="O104" s="31">
        <v>1.2E-2</v>
      </c>
      <c r="P104" s="31">
        <v>1.2E-2</v>
      </c>
      <c r="Q104" s="26">
        <v>1.2E-2</v>
      </c>
      <c r="R104" s="25" t="s">
        <v>47</v>
      </c>
      <c r="S104" s="196">
        <v>0</v>
      </c>
      <c r="T104" s="241">
        <f t="shared" si="23"/>
        <v>17821317.476732161</v>
      </c>
      <c r="U104" s="147">
        <f t="shared" si="24"/>
        <v>15529600</v>
      </c>
      <c r="V104" s="31" t="s">
        <v>47</v>
      </c>
      <c r="X104" s="77">
        <f t="shared" si="34"/>
        <v>17821317.476732161</v>
      </c>
      <c r="Y104" s="78" t="e">
        <f t="shared" si="35"/>
        <v>#DIV/0!</v>
      </c>
      <c r="Z104" s="97">
        <f t="shared" si="36"/>
        <v>55117.476732160896</v>
      </c>
      <c r="AA104" s="79">
        <f t="shared" si="37"/>
        <v>3.1023784901757774E-3</v>
      </c>
      <c r="AB104" s="90"/>
      <c r="AC104" s="158"/>
      <c r="AD104" s="90"/>
      <c r="AE104" s="90"/>
      <c r="AF104" s="230">
        <f t="shared" si="30"/>
        <v>-0.01</v>
      </c>
      <c r="AG104" s="230">
        <f t="shared" si="31"/>
        <v>-17766200</v>
      </c>
      <c r="AH104" t="s">
        <v>390</v>
      </c>
      <c r="AI104" s="241"/>
      <c r="AJ104" s="198" t="s">
        <v>339</v>
      </c>
    </row>
    <row r="105" spans="1:36" hidden="1" x14ac:dyDescent="0.35">
      <c r="A105" s="38" t="s">
        <v>256</v>
      </c>
      <c r="B105" s="179" t="s">
        <v>336</v>
      </c>
      <c r="C105" s="42"/>
      <c r="D105" s="42"/>
      <c r="E105" s="40" t="s">
        <v>345</v>
      </c>
      <c r="F105" s="191">
        <f>40800000*SUM('BP2022 - Distribution mensuelle'!DB9:DB14)</f>
        <v>19584000</v>
      </c>
      <c r="G105" s="35">
        <f>35300000*SUM('BP2022 - Distribution mensuelle'!DB9:DB14)</f>
        <v>16944000</v>
      </c>
      <c r="H105" s="237">
        <v>0.96699999999999997</v>
      </c>
      <c r="I105" s="25">
        <v>0.97</v>
      </c>
      <c r="J105" s="31" t="s">
        <v>47</v>
      </c>
      <c r="K105" s="68">
        <v>0.97</v>
      </c>
      <c r="L105" s="25">
        <v>0</v>
      </c>
      <c r="M105" s="31">
        <v>0</v>
      </c>
      <c r="N105" s="31">
        <v>0</v>
      </c>
      <c r="O105" s="31">
        <v>1.2E-2</v>
      </c>
      <c r="P105" s="31">
        <v>1.2E-2</v>
      </c>
      <c r="Q105" s="26">
        <v>1.2E-2</v>
      </c>
      <c r="R105" s="25" t="s">
        <v>47</v>
      </c>
      <c r="S105" s="196">
        <v>0</v>
      </c>
      <c r="T105" s="241">
        <f t="shared" si="23"/>
        <v>19644756.980351601</v>
      </c>
      <c r="U105" s="147">
        <f t="shared" si="24"/>
        <v>16944000</v>
      </c>
      <c r="V105" s="31" t="s">
        <v>47</v>
      </c>
      <c r="X105" s="77">
        <f t="shared" si="34"/>
        <v>19644756.980351601</v>
      </c>
      <c r="Y105" s="78" t="e">
        <f t="shared" si="35"/>
        <v>#DIV/0!</v>
      </c>
      <c r="Z105" s="97">
        <f t="shared" si="36"/>
        <v>60756.980351600796</v>
      </c>
      <c r="AA105" s="79">
        <f t="shared" si="37"/>
        <v>3.1023784901756941E-3</v>
      </c>
      <c r="AB105" s="90"/>
      <c r="AC105" s="158"/>
      <c r="AD105" s="90"/>
      <c r="AE105" s="90"/>
      <c r="AF105" s="230">
        <f t="shared" si="30"/>
        <v>-0.01</v>
      </c>
      <c r="AG105" s="230">
        <f t="shared" si="31"/>
        <v>-19584000</v>
      </c>
      <c r="AH105" t="s">
        <v>390</v>
      </c>
      <c r="AI105" s="241"/>
      <c r="AJ105" s="198" t="s">
        <v>339</v>
      </c>
    </row>
    <row r="106" spans="1:36" hidden="1" x14ac:dyDescent="0.35">
      <c r="A106" s="38" t="s">
        <v>256</v>
      </c>
      <c r="B106" s="179" t="s">
        <v>333</v>
      </c>
      <c r="C106" s="42"/>
      <c r="D106" s="42"/>
      <c r="E106" s="40" t="s">
        <v>346</v>
      </c>
      <c r="F106" s="191">
        <f>55600000*SUM('BP2022 - Distribution mensuelle'!DC8:DC14)</f>
        <v>29690400</v>
      </c>
      <c r="G106" s="35">
        <f>47000000*SUM('BP2022 - Distribution mensuelle'!DC8:DC14)</f>
        <v>25098000</v>
      </c>
      <c r="H106" s="237">
        <v>0.96699999999999997</v>
      </c>
      <c r="I106" s="25">
        <v>0.97</v>
      </c>
      <c r="J106" s="31" t="s">
        <v>47</v>
      </c>
      <c r="K106" s="68">
        <v>0.97</v>
      </c>
      <c r="L106" s="25">
        <v>0</v>
      </c>
      <c r="M106" s="31">
        <v>0</v>
      </c>
      <c r="N106" s="31">
        <v>0</v>
      </c>
      <c r="O106" s="31">
        <v>1.2E-2</v>
      </c>
      <c r="P106" s="31">
        <v>1.2E-2</v>
      </c>
      <c r="Q106" s="26">
        <v>1.2E-2</v>
      </c>
      <c r="R106" s="25" t="s">
        <v>47</v>
      </c>
      <c r="S106" s="196">
        <v>0</v>
      </c>
      <c r="T106" s="241">
        <f t="shared" si="23"/>
        <v>29782510.858324714</v>
      </c>
      <c r="U106" s="147">
        <f t="shared" si="24"/>
        <v>25098000</v>
      </c>
      <c r="V106" s="31" t="s">
        <v>47</v>
      </c>
      <c r="X106" s="77">
        <f t="shared" si="34"/>
        <v>29782510.858324714</v>
      </c>
      <c r="Y106" s="78" t="e">
        <f t="shared" si="35"/>
        <v>#DIV/0!</v>
      </c>
      <c r="Z106" s="97">
        <f t="shared" si="36"/>
        <v>92110.858324714005</v>
      </c>
      <c r="AA106" s="79">
        <f t="shared" si="37"/>
        <v>3.102378490175747E-3</v>
      </c>
      <c r="AB106" s="90"/>
      <c r="AC106" s="158"/>
      <c r="AD106" s="90"/>
      <c r="AE106" s="90"/>
      <c r="AF106" s="230">
        <f t="shared" si="30"/>
        <v>-0.01</v>
      </c>
      <c r="AG106" s="230">
        <f t="shared" si="31"/>
        <v>-29690400</v>
      </c>
      <c r="AH106" t="s">
        <v>390</v>
      </c>
      <c r="AI106" s="241"/>
      <c r="AJ106" s="198" t="s">
        <v>339</v>
      </c>
    </row>
    <row r="107" spans="1:36" ht="15" thickBot="1" x14ac:dyDescent="0.4">
      <c r="A107" s="43" t="s">
        <v>256</v>
      </c>
      <c r="B107" s="182" t="s">
        <v>334</v>
      </c>
      <c r="C107" s="44"/>
      <c r="D107" s="44"/>
      <c r="E107" s="50" t="s">
        <v>347</v>
      </c>
      <c r="F107" s="192">
        <f>48100000*SUM('BP2022 - Distribution mensuelle'!DD13:DD14)</f>
        <v>11111100</v>
      </c>
      <c r="G107" s="73">
        <f>42300000*SUM('BP2022 - Distribution mensuelle'!DD13:DD14)</f>
        <v>9771300</v>
      </c>
      <c r="H107" s="240">
        <v>0.96699999999999997</v>
      </c>
      <c r="I107" s="29">
        <v>0.97</v>
      </c>
      <c r="J107" s="36" t="s">
        <v>47</v>
      </c>
      <c r="K107" s="127">
        <v>0.97</v>
      </c>
      <c r="L107" s="29">
        <v>0</v>
      </c>
      <c r="M107" s="36">
        <v>0</v>
      </c>
      <c r="N107" s="36">
        <v>0</v>
      </c>
      <c r="O107" s="36">
        <v>0</v>
      </c>
      <c r="P107" s="36">
        <v>0</v>
      </c>
      <c r="Q107" s="30">
        <v>0</v>
      </c>
      <c r="R107" s="29" t="s">
        <v>47</v>
      </c>
      <c r="S107" s="197">
        <v>0</v>
      </c>
      <c r="T107" s="243">
        <f t="shared" si="23"/>
        <v>11145570.837642191</v>
      </c>
      <c r="U107" s="167">
        <f t="shared" si="24"/>
        <v>9771300</v>
      </c>
      <c r="V107" s="36" t="s">
        <v>47</v>
      </c>
      <c r="W107" s="168"/>
      <c r="X107" s="169">
        <f t="shared" si="34"/>
        <v>11145570.837642191</v>
      </c>
      <c r="Y107" s="170" t="e">
        <f t="shared" si="35"/>
        <v>#DIV/0!</v>
      </c>
      <c r="Z107" s="171">
        <f t="shared" si="36"/>
        <v>34470.837642190978</v>
      </c>
      <c r="AA107" s="172">
        <f t="shared" si="37"/>
        <v>3.1023784901756781E-3</v>
      </c>
      <c r="AB107" s="173"/>
      <c r="AC107" s="174"/>
      <c r="AD107" s="92"/>
      <c r="AE107" s="92"/>
      <c r="AF107" s="230">
        <f t="shared" si="30"/>
        <v>-0.01</v>
      </c>
      <c r="AG107" s="230">
        <f t="shared" si="31"/>
        <v>-11111100</v>
      </c>
      <c r="AH107" t="s">
        <v>390</v>
      </c>
      <c r="AI107" s="241"/>
      <c r="AJ107" s="198" t="s">
        <v>339</v>
      </c>
    </row>
    <row r="108" spans="1:36" s="63" customFormat="1" hidden="1" x14ac:dyDescent="0.35">
      <c r="A108" s="12"/>
      <c r="B108" s="12" t="s">
        <v>260</v>
      </c>
      <c r="C108" s="183">
        <f>SUM(C3:C107)</f>
        <v>2425224762.5150671</v>
      </c>
      <c r="D108" s="183">
        <f>SUM(D3:D107)</f>
        <v>2160221312.7110534</v>
      </c>
      <c r="E108" s="12"/>
      <c r="F108" s="183">
        <f>SUM(F3:F107)</f>
        <v>2404591645.0923162</v>
      </c>
      <c r="G108" s="184"/>
      <c r="H108" s="194"/>
      <c r="I108" s="10" t="s">
        <v>382</v>
      </c>
      <c r="J108" s="225">
        <f>SUMPRODUCT(J3:J92,$F3:$F92)/SUM($F3:$F92)</f>
        <v>0.96845403289776688</v>
      </c>
      <c r="K108" s="225">
        <f>SUMPRODUCT(K3:K92,$F3:$F92)/SUM($F3:$F92)</f>
        <v>0.97037643002299545</v>
      </c>
      <c r="L108" s="185"/>
      <c r="M108" s="185"/>
      <c r="N108" s="185"/>
      <c r="O108" s="185"/>
      <c r="P108" s="185"/>
      <c r="Q108" s="185"/>
      <c r="R108" s="185"/>
      <c r="S108" s="185"/>
      <c r="T108" s="183">
        <f>SUM(T3:T107)</f>
        <v>2427053151.5738139</v>
      </c>
      <c r="U108" s="183" t="e">
        <f>SUM(U3:U107)</f>
        <v>#VALUE!</v>
      </c>
      <c r="V108" s="185">
        <f>(T108-C108)/C108</f>
        <v>7.539049934698395E-4</v>
      </c>
      <c r="W108" s="186"/>
      <c r="X108" s="187"/>
      <c r="Y108" s="187"/>
      <c r="Z108" s="188"/>
      <c r="AA108" s="188"/>
      <c r="AB108" s="189"/>
      <c r="AC108" s="189"/>
      <c r="AF108" s="63" t="s">
        <v>381</v>
      </c>
      <c r="AG108" s="230"/>
      <c r="AI108" s="231"/>
    </row>
    <row r="109" spans="1:36" hidden="1" x14ac:dyDescent="0.35">
      <c r="F109" s="1"/>
      <c r="G109" s="1"/>
      <c r="H109" s="8"/>
      <c r="I109" s="10" t="s">
        <v>368</v>
      </c>
      <c r="J109" s="10">
        <f>AVERAGE(J3:J92)</f>
        <v>0.96672629886363592</v>
      </c>
      <c r="K109" s="10">
        <f>AVERAGE(K3:K92)</f>
        <v>0.96839675340909037</v>
      </c>
      <c r="U109" s="280" t="s">
        <v>398</v>
      </c>
      <c r="V109" s="281">
        <f>C108-T108</f>
        <v>-1828389.0587468147</v>
      </c>
      <c r="AF109" s="63" t="s">
        <v>380</v>
      </c>
      <c r="AG109" s="230"/>
      <c r="AI109" s="231"/>
    </row>
    <row r="110" spans="1:36" x14ac:dyDescent="0.35">
      <c r="F110" s="1"/>
      <c r="G110" s="1"/>
      <c r="H110" s="8"/>
    </row>
    <row r="111" spans="1:36" x14ac:dyDescent="0.35">
      <c r="C111" s="88"/>
      <c r="F111" s="1"/>
      <c r="G111" s="1"/>
      <c r="H111" s="8"/>
      <c r="P111" s="88"/>
      <c r="Q111" s="88"/>
      <c r="R111" s="88"/>
      <c r="S111" s="88"/>
      <c r="T111" s="88"/>
    </row>
    <row r="112" spans="1:36" x14ac:dyDescent="0.35">
      <c r="C112" s="88"/>
      <c r="F112" s="1"/>
      <c r="G112" s="1"/>
      <c r="H112" s="8"/>
      <c r="P112" s="88"/>
      <c r="Q112" s="88"/>
      <c r="R112" s="88"/>
      <c r="S112" s="88"/>
      <c r="T112" s="88"/>
    </row>
    <row r="113" spans="1:29" ht="15" thickBot="1" x14ac:dyDescent="0.4">
      <c r="F113" s="1"/>
      <c r="G113" s="1"/>
      <c r="H113" s="8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6.5" customHeight="1" x14ac:dyDescent="0.35">
      <c r="B114" s="288" t="s">
        <v>342</v>
      </c>
      <c r="T114" s="10"/>
    </row>
    <row r="115" spans="1:29" x14ac:dyDescent="0.35">
      <c r="B115" s="289"/>
    </row>
    <row r="116" spans="1:29" x14ac:dyDescent="0.35">
      <c r="B116" s="289"/>
    </row>
    <row r="117" spans="1:29" s="9" customFormat="1" x14ac:dyDescent="0.35">
      <c r="A117" s="1"/>
      <c r="B117" s="289"/>
      <c r="C117" s="1"/>
      <c r="D117" s="1"/>
      <c r="E117" s="1"/>
      <c r="F117" s="114"/>
      <c r="H117" s="11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1"/>
      <c r="U117" s="11"/>
      <c r="W117" s="13"/>
      <c r="X117" s="87"/>
      <c r="Y117" s="87"/>
      <c r="Z117" s="74"/>
      <c r="AA117" s="74"/>
      <c r="AB117" s="81"/>
      <c r="AC117" s="81"/>
    </row>
    <row r="118" spans="1:29" s="9" customFormat="1" x14ac:dyDescent="0.35">
      <c r="A118" s="1"/>
      <c r="B118" s="289"/>
      <c r="C118" s="1"/>
      <c r="D118" s="1"/>
      <c r="E118" s="1"/>
      <c r="H118" s="11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1"/>
      <c r="U118" s="11"/>
      <c r="W118" s="13"/>
      <c r="X118" s="87"/>
      <c r="Y118" s="87"/>
      <c r="Z118" s="74"/>
      <c r="AA118" s="74"/>
      <c r="AB118" s="81"/>
      <c r="AC118" s="81"/>
    </row>
    <row r="119" spans="1:29" s="9" customFormat="1" x14ac:dyDescent="0.35">
      <c r="A119" s="1"/>
      <c r="B119" s="289"/>
      <c r="C119" s="1"/>
      <c r="D119" s="1"/>
      <c r="E119" s="1"/>
      <c r="H119" s="11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1"/>
      <c r="U119" s="11"/>
      <c r="W119" s="13"/>
      <c r="X119" s="87"/>
      <c r="Y119" s="87"/>
      <c r="Z119" s="74"/>
      <c r="AA119" s="74"/>
      <c r="AB119" s="81"/>
      <c r="AC119" s="81"/>
    </row>
    <row r="120" spans="1:29" s="9" customFormat="1" ht="15" thickBot="1" x14ac:dyDescent="0.4">
      <c r="A120" s="1"/>
      <c r="B120" s="290"/>
      <c r="C120" s="1"/>
      <c r="D120" s="1"/>
      <c r="E120" s="1"/>
      <c r="H120" s="11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1"/>
      <c r="U120" s="11"/>
      <c r="W120" s="13"/>
      <c r="X120" s="87"/>
      <c r="Y120" s="87"/>
      <c r="Z120" s="74"/>
      <c r="AA120" s="74"/>
      <c r="AB120" s="81"/>
      <c r="AC120" s="81"/>
    </row>
  </sheetData>
  <sheetProtection sort="0" autoFilter="0"/>
  <autoFilter ref="A2:AJ109" xr:uid="{B9B690D8-090E-46E2-805C-80838751085D}">
    <filterColumn colId="1">
      <filters>
        <filter val="Repowering Bougainville (BGV-R)"/>
      </filters>
    </filterColumn>
  </autoFilter>
  <mergeCells count="6">
    <mergeCell ref="F1:G1"/>
    <mergeCell ref="X1:AB1"/>
    <mergeCell ref="B114:B120"/>
    <mergeCell ref="L1:Q1"/>
    <mergeCell ref="R1:S1"/>
    <mergeCell ref="H1:K1"/>
  </mergeCells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06202-094A-48DE-841E-EE7F4D6DE48E}">
  <sheetPr>
    <tabColor rgb="FF92D050"/>
  </sheetPr>
  <dimension ref="A1:DF48"/>
  <sheetViews>
    <sheetView zoomScale="85" zoomScaleNormal="85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H8" sqref="H8"/>
    </sheetView>
  </sheetViews>
  <sheetFormatPr baseColWidth="10" defaultColWidth="11.453125" defaultRowHeight="14.5" x14ac:dyDescent="0.35"/>
  <cols>
    <col min="2" max="2" width="12" bestFit="1" customWidth="1"/>
    <col min="3" max="3" width="24.26953125" bestFit="1" customWidth="1"/>
    <col min="4" max="108" width="18.54296875" customWidth="1"/>
    <col min="110" max="110" width="13.1796875" bestFit="1" customWidth="1"/>
  </cols>
  <sheetData>
    <row r="1" spans="3:108" x14ac:dyDescent="0.35">
      <c r="BR1" s="278">
        <v>44593</v>
      </c>
      <c r="BS1" s="278">
        <v>44562</v>
      </c>
      <c r="BX1" s="278">
        <v>44682</v>
      </c>
      <c r="CF1" s="278">
        <v>44743</v>
      </c>
      <c r="CZ1" s="277">
        <v>44531</v>
      </c>
      <c r="DA1" s="277">
        <v>44774</v>
      </c>
      <c r="DB1" s="277">
        <v>44743</v>
      </c>
      <c r="DC1" s="277">
        <v>44713</v>
      </c>
      <c r="DD1" s="277">
        <v>44866</v>
      </c>
    </row>
    <row r="2" spans="3:108" s="266" customFormat="1" ht="43.5" x14ac:dyDescent="0.35">
      <c r="C2" s="266" t="s">
        <v>263</v>
      </c>
      <c r="D2" s="266" t="s">
        <v>26</v>
      </c>
      <c r="E2" s="266" t="s">
        <v>29</v>
      </c>
      <c r="F2" s="266" t="s">
        <v>31</v>
      </c>
      <c r="G2" s="266" t="s">
        <v>34</v>
      </c>
      <c r="H2" s="266" t="s">
        <v>36</v>
      </c>
      <c r="I2" s="266" t="s">
        <v>40</v>
      </c>
      <c r="J2" s="266" t="s">
        <v>42</v>
      </c>
      <c r="K2" s="266" t="s">
        <v>44</v>
      </c>
      <c r="L2" s="266" t="s">
        <v>46</v>
      </c>
      <c r="M2" s="266" t="s">
        <v>50</v>
      </c>
      <c r="N2" s="266" t="s">
        <v>52</v>
      </c>
      <c r="O2" s="266" t="s">
        <v>55</v>
      </c>
      <c r="P2" s="266" t="s">
        <v>58</v>
      </c>
      <c r="Q2" s="266" t="s">
        <v>60</v>
      </c>
      <c r="R2" s="266" t="s">
        <v>62</v>
      </c>
      <c r="S2" s="266" t="s">
        <v>63</v>
      </c>
      <c r="T2" s="266" t="s">
        <v>64</v>
      </c>
      <c r="U2" s="266" t="s">
        <v>66</v>
      </c>
      <c r="V2" s="266" t="s">
        <v>68</v>
      </c>
      <c r="W2" s="266" t="s">
        <v>69</v>
      </c>
      <c r="X2" s="266" t="s">
        <v>70</v>
      </c>
      <c r="Y2" s="266" t="s">
        <v>71</v>
      </c>
      <c r="Z2" s="266" t="s">
        <v>73</v>
      </c>
      <c r="AA2" s="266" t="s">
        <v>77</v>
      </c>
      <c r="AB2" s="266" t="s">
        <v>80</v>
      </c>
      <c r="AC2" s="266" t="s">
        <v>81</v>
      </c>
      <c r="AD2" s="266" t="s">
        <v>83</v>
      </c>
      <c r="AE2" s="266" t="s">
        <v>85</v>
      </c>
      <c r="AF2" s="266" t="s">
        <v>87</v>
      </c>
      <c r="AG2" s="266" t="s">
        <v>89</v>
      </c>
      <c r="AH2" s="266" t="s">
        <v>92</v>
      </c>
      <c r="AI2" s="266" t="s">
        <v>94</v>
      </c>
      <c r="AJ2" s="266" t="s">
        <v>97</v>
      </c>
      <c r="AK2" s="266" t="s">
        <v>99</v>
      </c>
      <c r="AL2" s="266" t="s">
        <v>101</v>
      </c>
      <c r="AM2" s="266" t="s">
        <v>104</v>
      </c>
      <c r="AN2" s="266" t="s">
        <v>105</v>
      </c>
      <c r="AO2" s="266" t="s">
        <v>107</v>
      </c>
      <c r="AP2" s="266" t="s">
        <v>108</v>
      </c>
      <c r="AQ2" s="266" t="s">
        <v>109</v>
      </c>
      <c r="AR2" s="266" t="s">
        <v>111</v>
      </c>
      <c r="AS2" s="266" t="s">
        <v>115</v>
      </c>
      <c r="AT2" s="266" t="s">
        <v>116</v>
      </c>
      <c r="AU2" s="266" t="s">
        <v>117</v>
      </c>
      <c r="AV2" s="266" t="s">
        <v>119</v>
      </c>
      <c r="AW2" s="266" t="s">
        <v>122</v>
      </c>
      <c r="AX2" s="266" t="s">
        <v>123</v>
      </c>
      <c r="AY2" s="266" t="s">
        <v>124</v>
      </c>
      <c r="AZ2" s="266" t="s">
        <v>126</v>
      </c>
      <c r="BA2" s="266" t="s">
        <v>127</v>
      </c>
      <c r="BB2" s="266" t="s">
        <v>129</v>
      </c>
      <c r="BC2" s="266" t="s">
        <v>132</v>
      </c>
      <c r="BD2" s="266" t="s">
        <v>134</v>
      </c>
      <c r="BE2" s="266" t="s">
        <v>137</v>
      </c>
      <c r="BF2" s="266" t="s">
        <v>138</v>
      </c>
      <c r="BG2" s="266" t="s">
        <v>140</v>
      </c>
      <c r="BH2" s="266" t="s">
        <v>143</v>
      </c>
      <c r="BI2" s="266" t="s">
        <v>145</v>
      </c>
      <c r="BJ2" s="266" t="s">
        <v>147</v>
      </c>
      <c r="BK2" s="266" t="s">
        <v>149</v>
      </c>
      <c r="BL2" s="266" t="s">
        <v>151</v>
      </c>
      <c r="BM2" s="266" t="s">
        <v>154</v>
      </c>
      <c r="BN2" s="266" t="s">
        <v>157</v>
      </c>
      <c r="BO2" s="266" t="s">
        <v>160</v>
      </c>
      <c r="BP2" s="266" t="s">
        <v>164</v>
      </c>
      <c r="BQ2" s="266" t="s">
        <v>167</v>
      </c>
      <c r="BR2" s="266" t="s">
        <v>170</v>
      </c>
      <c r="BS2" s="266" t="s">
        <v>173</v>
      </c>
      <c r="BT2" s="266" t="s">
        <v>175</v>
      </c>
      <c r="BU2" s="266" t="s">
        <v>178</v>
      </c>
      <c r="BV2" s="266" t="s">
        <v>181</v>
      </c>
      <c r="BW2" s="266" t="s">
        <v>182</v>
      </c>
      <c r="BX2" s="266" t="s">
        <v>184</v>
      </c>
      <c r="BY2" s="266" t="s">
        <v>186</v>
      </c>
      <c r="BZ2" s="266" t="s">
        <v>188</v>
      </c>
      <c r="CA2" s="266" t="s">
        <v>190</v>
      </c>
      <c r="CB2" s="266" t="s">
        <v>192</v>
      </c>
      <c r="CC2" s="266" t="s">
        <v>194</v>
      </c>
      <c r="CD2" s="266" t="s">
        <v>196</v>
      </c>
      <c r="CE2" s="266" t="s">
        <v>199</v>
      </c>
      <c r="CF2" s="266" t="s">
        <v>203</v>
      </c>
      <c r="CG2" s="266" t="s">
        <v>205</v>
      </c>
      <c r="CH2" s="266" t="s">
        <v>208</v>
      </c>
      <c r="CI2" s="266" t="s">
        <v>210</v>
      </c>
      <c r="CJ2" s="266" t="s">
        <v>213</v>
      </c>
      <c r="CK2" s="266" t="s">
        <v>216</v>
      </c>
      <c r="CL2" s="266" t="s">
        <v>219</v>
      </c>
      <c r="CM2" s="266" t="s">
        <v>221</v>
      </c>
      <c r="CN2" s="266" t="s">
        <v>223</v>
      </c>
      <c r="CO2" s="266" t="s">
        <v>225</v>
      </c>
      <c r="CP2" s="267" t="s">
        <v>227</v>
      </c>
      <c r="CQ2" s="267" t="s">
        <v>230</v>
      </c>
      <c r="CR2" s="266" t="s">
        <v>233</v>
      </c>
      <c r="CS2" s="266" t="s">
        <v>236</v>
      </c>
      <c r="CT2" s="266" t="s">
        <v>240</v>
      </c>
      <c r="CU2" s="266" t="s">
        <v>243</v>
      </c>
      <c r="CV2" s="266" t="s">
        <v>247</v>
      </c>
      <c r="CW2" s="267" t="s">
        <v>250</v>
      </c>
      <c r="CX2" s="267" t="s">
        <v>253</v>
      </c>
      <c r="CY2" s="266" t="s">
        <v>257</v>
      </c>
      <c r="CZ2" s="266" t="s">
        <v>332</v>
      </c>
      <c r="DA2" s="266" t="s">
        <v>335</v>
      </c>
      <c r="DB2" s="266" t="s">
        <v>336</v>
      </c>
      <c r="DC2" s="266" t="s">
        <v>333</v>
      </c>
      <c r="DD2" s="266" t="s">
        <v>334</v>
      </c>
    </row>
    <row r="3" spans="3:108" x14ac:dyDescent="0.35">
      <c r="C3" s="63" t="s">
        <v>264</v>
      </c>
      <c r="D3" s="61">
        <f>((D18-D$30)/D$30*D$31+1)*$B$18/SUM($B$18:$B$29)</f>
        <v>9.9091146332417557E-2</v>
      </c>
      <c r="E3" s="61">
        <f t="shared" ref="E3:H3" si="0">((E18-E$30)/E$30*E$31+1)*$B$18/SUM($B$18:$B$29)</f>
        <v>9.9091146332417557E-2</v>
      </c>
      <c r="F3" s="61">
        <f t="shared" si="0"/>
        <v>0.13345107673695134</v>
      </c>
      <c r="G3" s="61">
        <f t="shared" si="0"/>
        <v>0.13244948256939298</v>
      </c>
      <c r="H3" s="61">
        <f t="shared" si="0"/>
        <v>0.11698000324119512</v>
      </c>
      <c r="I3" s="61">
        <f t="shared" ref="I3:BT3" si="1">((I18-I$30)/I$30*I$31+1)*$B$18/SUM($B$18:$B$29)</f>
        <v>0.11698000324119512</v>
      </c>
      <c r="J3" s="61">
        <f t="shared" si="1"/>
        <v>0.11698000324119512</v>
      </c>
      <c r="K3" s="61">
        <f t="shared" si="1"/>
        <v>0.11698000324119512</v>
      </c>
      <c r="L3" s="61">
        <f t="shared" si="1"/>
        <v>0.11012116383758098</v>
      </c>
      <c r="M3" s="61">
        <f t="shared" si="1"/>
        <v>0.11012116383758098</v>
      </c>
      <c r="N3" s="61">
        <f t="shared" si="1"/>
        <v>0.11198605737550324</v>
      </c>
      <c r="O3" s="61">
        <f t="shared" si="1"/>
        <v>0.12173647592374194</v>
      </c>
      <c r="P3" s="61">
        <f t="shared" si="1"/>
        <v>0.10213549063627551</v>
      </c>
      <c r="Q3" s="61">
        <f t="shared" si="1"/>
        <v>0.13008864501978948</v>
      </c>
      <c r="R3" s="61">
        <f t="shared" si="1"/>
        <v>0.12454124316363419</v>
      </c>
      <c r="S3" s="61">
        <f t="shared" si="1"/>
        <v>0.12454124316363419</v>
      </c>
      <c r="T3" s="61">
        <f t="shared" si="1"/>
        <v>0.12454124316363419</v>
      </c>
      <c r="U3" s="61">
        <f t="shared" si="1"/>
        <v>0.1172870373807689</v>
      </c>
      <c r="V3" s="61">
        <f t="shared" si="1"/>
        <v>0.11944949454859073</v>
      </c>
      <c r="W3" s="61">
        <f t="shared" si="1"/>
        <v>0.11944949454859073</v>
      </c>
      <c r="X3" s="61">
        <f t="shared" si="1"/>
        <v>0.11944949454859073</v>
      </c>
      <c r="Y3" s="61">
        <f t="shared" si="1"/>
        <v>0.11944949454859073</v>
      </c>
      <c r="Z3" s="61">
        <f t="shared" si="1"/>
        <v>0.12449564703250651</v>
      </c>
      <c r="AA3" s="61">
        <f t="shared" si="1"/>
        <v>0.1169966662253641</v>
      </c>
      <c r="AB3" s="61">
        <f t="shared" si="1"/>
        <v>0.1169966662253641</v>
      </c>
      <c r="AC3" s="61">
        <f t="shared" si="1"/>
        <v>0.1169966662253641</v>
      </c>
      <c r="AD3" s="61">
        <f t="shared" si="1"/>
        <v>0.1169966662253641</v>
      </c>
      <c r="AE3" s="61">
        <f t="shared" si="1"/>
        <v>0.12329751670039017</v>
      </c>
      <c r="AF3" s="61">
        <f t="shared" si="1"/>
        <v>0.12329751670039017</v>
      </c>
      <c r="AG3" s="61">
        <f t="shared" si="1"/>
        <v>0.12067123389621624</v>
      </c>
      <c r="AH3" s="61">
        <f t="shared" si="1"/>
        <v>0.12067123389621624</v>
      </c>
      <c r="AI3" s="61">
        <f t="shared" si="1"/>
        <v>0.10170613057982641</v>
      </c>
      <c r="AJ3" s="61">
        <f t="shared" si="1"/>
        <v>0.13389671127898606</v>
      </c>
      <c r="AK3" s="61">
        <f t="shared" si="1"/>
        <v>0.12690032374778434</v>
      </c>
      <c r="AL3" s="61">
        <f t="shared" si="1"/>
        <v>0.1217305758087527</v>
      </c>
      <c r="AM3" s="61">
        <f t="shared" si="1"/>
        <v>0.11971455131915285</v>
      </c>
      <c r="AN3" s="61">
        <f t="shared" si="1"/>
        <v>0.11971455131915285</v>
      </c>
      <c r="AO3" s="61">
        <f t="shared" si="1"/>
        <v>0.11898842960977334</v>
      </c>
      <c r="AP3" s="61">
        <f t="shared" si="1"/>
        <v>0.11898842960977334</v>
      </c>
      <c r="AQ3" s="61">
        <f t="shared" si="1"/>
        <v>0.11898842960977334</v>
      </c>
      <c r="AR3" s="61">
        <f t="shared" si="1"/>
        <v>0.10404364126786006</v>
      </c>
      <c r="AS3" s="61">
        <f t="shared" si="1"/>
        <v>0.11724499098530672</v>
      </c>
      <c r="AT3" s="61">
        <f t="shared" si="1"/>
        <v>0.11724499098530672</v>
      </c>
      <c r="AU3" s="61">
        <f t="shared" si="1"/>
        <v>0.11724499098530672</v>
      </c>
      <c r="AV3" s="61">
        <f t="shared" si="1"/>
        <v>0.11930113531569352</v>
      </c>
      <c r="AW3" s="61">
        <f t="shared" si="1"/>
        <v>0.12255342589016294</v>
      </c>
      <c r="AX3" s="61">
        <f t="shared" si="1"/>
        <v>0.12255342589016294</v>
      </c>
      <c r="AY3" s="61">
        <f t="shared" si="1"/>
        <v>0.12255342589016294</v>
      </c>
      <c r="AZ3" s="61">
        <f t="shared" si="1"/>
        <v>0.11040506281724705</v>
      </c>
      <c r="BA3" s="61">
        <f t="shared" si="1"/>
        <v>0.11040506281724705</v>
      </c>
      <c r="BB3" s="61">
        <f t="shared" si="1"/>
        <v>0.11966860723307968</v>
      </c>
      <c r="BC3" s="61">
        <f t="shared" si="1"/>
        <v>0.11928637769019849</v>
      </c>
      <c r="BD3" s="61">
        <f t="shared" si="1"/>
        <v>0.13056037726302303</v>
      </c>
      <c r="BE3" s="61">
        <f t="shared" si="1"/>
        <v>0.11635956591696528</v>
      </c>
      <c r="BF3" s="61">
        <f t="shared" si="1"/>
        <v>0.11635956591696528</v>
      </c>
      <c r="BG3" s="61">
        <f t="shared" si="1"/>
        <v>0.11099302479278085</v>
      </c>
      <c r="BH3" s="61">
        <f t="shared" si="1"/>
        <v>0.12041356397380823</v>
      </c>
      <c r="BI3" s="61">
        <f t="shared" si="1"/>
        <v>0.12041356397380823</v>
      </c>
      <c r="BJ3" s="61">
        <f t="shared" si="1"/>
        <v>0.11489899083468355</v>
      </c>
      <c r="BK3" s="61">
        <f t="shared" si="1"/>
        <v>0.11489899083468355</v>
      </c>
      <c r="BL3" s="61">
        <f t="shared" si="1"/>
        <v>0.11791840927110182</v>
      </c>
      <c r="BM3" s="61">
        <f t="shared" si="1"/>
        <v>0.1184672014332209</v>
      </c>
      <c r="BN3" s="61">
        <f t="shared" si="1"/>
        <v>0.11531342052991835</v>
      </c>
      <c r="BO3" s="61">
        <f t="shared" si="1"/>
        <v>0.10890902447401696</v>
      </c>
      <c r="BP3" s="61">
        <f t="shared" si="1"/>
        <v>0.12033052412210961</v>
      </c>
      <c r="BQ3" s="61">
        <f t="shared" si="1"/>
        <v>0.12033052412210961</v>
      </c>
      <c r="BR3" s="61">
        <f t="shared" si="1"/>
        <v>0.11525324368783715</v>
      </c>
      <c r="BS3" s="61">
        <f t="shared" si="1"/>
        <v>0.11499771460541466</v>
      </c>
      <c r="BT3" s="61">
        <f t="shared" si="1"/>
        <v>0.12316185099967983</v>
      </c>
      <c r="BU3" s="61">
        <f t="shared" ref="BU3:CV3" si="2">((BU18-BU$30)/BU$30*BU$31+1)*$B$18/SUM($B$18:$B$29)</f>
        <v>0.12562810061166149</v>
      </c>
      <c r="BV3" s="61">
        <f t="shared" si="2"/>
        <v>0.12131774513605761</v>
      </c>
      <c r="BW3" s="61">
        <f t="shared" si="2"/>
        <v>0.12131774513605761</v>
      </c>
      <c r="BX3" s="61">
        <f t="shared" si="2"/>
        <v>0.12357791977010436</v>
      </c>
      <c r="BY3" s="61">
        <f t="shared" si="2"/>
        <v>0.11797333178043679</v>
      </c>
      <c r="BZ3" s="61">
        <f t="shared" si="2"/>
        <v>0.10297583837481497</v>
      </c>
      <c r="CA3" s="61">
        <f t="shared" si="2"/>
        <v>0.1112006767266195</v>
      </c>
      <c r="CB3" s="61">
        <f t="shared" si="2"/>
        <v>0.11742038834974501</v>
      </c>
      <c r="CC3" s="61">
        <f t="shared" si="2"/>
        <v>0.10842432497235846</v>
      </c>
      <c r="CD3" s="61">
        <f t="shared" si="2"/>
        <v>0.11706304455871071</v>
      </c>
      <c r="CE3" s="61">
        <f t="shared" si="2"/>
        <v>0.11183898371981811</v>
      </c>
      <c r="CF3" s="61">
        <f t="shared" si="2"/>
        <v>0.11346199364373562</v>
      </c>
      <c r="CG3" s="61">
        <f t="shared" si="2"/>
        <v>0.11410445610411707</v>
      </c>
      <c r="CH3" s="61">
        <f t="shared" si="2"/>
        <v>0.11387884066695116</v>
      </c>
      <c r="CI3" s="61">
        <f t="shared" si="2"/>
        <v>0.11268026306911628</v>
      </c>
      <c r="CJ3" s="61">
        <f t="shared" si="2"/>
        <v>0.11226073286692009</v>
      </c>
      <c r="CK3" s="61">
        <f t="shared" si="2"/>
        <v>0.11644987756364346</v>
      </c>
      <c r="CL3" s="61">
        <f t="shared" si="2"/>
        <v>0.1195453028255587</v>
      </c>
      <c r="CM3" s="61">
        <f t="shared" si="2"/>
        <v>0.1195453028255587</v>
      </c>
      <c r="CN3" s="61">
        <f t="shared" si="2"/>
        <v>0.11040506281724705</v>
      </c>
      <c r="CO3" s="61">
        <f t="shared" si="2"/>
        <v>0.11040506281724705</v>
      </c>
      <c r="CP3" s="61">
        <v>5.5696136146110575E-2</v>
      </c>
      <c r="CQ3" s="61">
        <v>4.261023045157853E-2</v>
      </c>
      <c r="CR3" s="61" t="s">
        <v>47</v>
      </c>
      <c r="CS3" s="61">
        <f t="shared" si="2"/>
        <v>0.10969080379036815</v>
      </c>
      <c r="CT3" s="61">
        <f t="shared" si="2"/>
        <v>0.11102100489828549</v>
      </c>
      <c r="CU3" s="61">
        <f t="shared" si="2"/>
        <v>0.11720525984515456</v>
      </c>
      <c r="CV3" s="61">
        <f t="shared" si="2"/>
        <v>0.11280751134757566</v>
      </c>
      <c r="CW3" s="214">
        <v>2.836E-2</v>
      </c>
      <c r="CX3" s="214">
        <v>4.2369999999999998E-2</v>
      </c>
      <c r="CY3" s="61">
        <f t="shared" ref="CY3" si="3">((CY18-CY$30)/CY$30*CY$31+1)*$B$18/SUM($B$18:$B$29)</f>
        <v>0.11503689179430239</v>
      </c>
      <c r="CZ3" s="61">
        <f>((CZ18-CZ$30)/CZ$30*CZ$31+1)*$B$18/SUM($B$18:$B$29)</f>
        <v>0.1104417790443155</v>
      </c>
      <c r="DA3" s="61">
        <v>0.11600000000000001</v>
      </c>
      <c r="DB3" s="62">
        <v>0.11600000000000001</v>
      </c>
      <c r="DC3" s="61">
        <v>0.11600000000000001</v>
      </c>
      <c r="DD3" s="61">
        <v>0.126</v>
      </c>
    </row>
    <row r="4" spans="3:108" x14ac:dyDescent="0.35">
      <c r="C4" s="63" t="s">
        <v>265</v>
      </c>
      <c r="D4" s="61">
        <f>((D19-D$30)/D$30*D$31+1)*$B$19/SUM($B$18:$B$29)</f>
        <v>9.1334107654201857E-2</v>
      </c>
      <c r="E4" s="61">
        <f t="shared" ref="E4:BP4" si="4">((E19-E$30)/E$30*E$31+1)*$B$19/SUM($B$18:$B$29)</f>
        <v>9.1334107654201857E-2</v>
      </c>
      <c r="F4" s="61">
        <f t="shared" si="4"/>
        <v>0.10497472084552976</v>
      </c>
      <c r="G4" s="61">
        <f t="shared" si="4"/>
        <v>0.10413734940319484</v>
      </c>
      <c r="H4" s="61">
        <f t="shared" si="4"/>
        <v>0.10144003327880506</v>
      </c>
      <c r="I4" s="61">
        <f t="shared" si="4"/>
        <v>0.10144003327880506</v>
      </c>
      <c r="J4" s="61">
        <f t="shared" si="4"/>
        <v>0.10144003327880506</v>
      </c>
      <c r="K4" s="61">
        <f t="shared" si="4"/>
        <v>0.10144003327880506</v>
      </c>
      <c r="L4" s="61">
        <f t="shared" si="4"/>
        <v>9.8618006241504227E-2</v>
      </c>
      <c r="M4" s="61">
        <f t="shared" si="4"/>
        <v>9.8618006241504227E-2</v>
      </c>
      <c r="N4" s="61">
        <f t="shared" si="4"/>
        <v>0.10018936067085249</v>
      </c>
      <c r="O4" s="61">
        <f t="shared" si="4"/>
        <v>0.10079069782794292</v>
      </c>
      <c r="P4" s="61">
        <f t="shared" si="4"/>
        <v>9.2876202551516795E-2</v>
      </c>
      <c r="Q4" s="61">
        <f t="shared" si="4"/>
        <v>0.10290279473949007</v>
      </c>
      <c r="R4" s="61">
        <f t="shared" si="4"/>
        <v>0.10183364816393085</v>
      </c>
      <c r="S4" s="61">
        <f t="shared" si="4"/>
        <v>0.10183364816393085</v>
      </c>
      <c r="T4" s="61">
        <f t="shared" si="4"/>
        <v>0.10183364816393085</v>
      </c>
      <c r="U4" s="61">
        <f t="shared" si="4"/>
        <v>9.9779915943206565E-2</v>
      </c>
      <c r="V4" s="61">
        <f t="shared" si="4"/>
        <v>9.7447505132556719E-2</v>
      </c>
      <c r="W4" s="61">
        <f t="shared" si="4"/>
        <v>9.7447505132556719E-2</v>
      </c>
      <c r="X4" s="61">
        <f t="shared" si="4"/>
        <v>9.7447505132556719E-2</v>
      </c>
      <c r="Y4" s="61">
        <f t="shared" si="4"/>
        <v>9.7447505132556719E-2</v>
      </c>
      <c r="Z4" s="61">
        <f t="shared" si="4"/>
        <v>9.9690524802720754E-2</v>
      </c>
      <c r="AA4" s="61">
        <f t="shared" si="4"/>
        <v>9.9828953944531895E-2</v>
      </c>
      <c r="AB4" s="61">
        <f t="shared" si="4"/>
        <v>9.9828953944531895E-2</v>
      </c>
      <c r="AC4" s="61">
        <f t="shared" si="4"/>
        <v>9.9828953944531895E-2</v>
      </c>
      <c r="AD4" s="61">
        <f t="shared" si="4"/>
        <v>9.9828953944531895E-2</v>
      </c>
      <c r="AE4" s="61">
        <f t="shared" si="4"/>
        <v>9.9272203797246245E-2</v>
      </c>
      <c r="AF4" s="61">
        <f t="shared" si="4"/>
        <v>9.9272203797246245E-2</v>
      </c>
      <c r="AG4" s="61">
        <f t="shared" si="4"/>
        <v>9.9377895832002905E-2</v>
      </c>
      <c r="AH4" s="61">
        <f t="shared" si="4"/>
        <v>9.9377895832002905E-2</v>
      </c>
      <c r="AI4" s="61">
        <f t="shared" si="4"/>
        <v>9.4157583810123804E-2</v>
      </c>
      <c r="AJ4" s="61">
        <f t="shared" si="4"/>
        <v>0.10808291256424536</v>
      </c>
      <c r="AK4" s="61">
        <f t="shared" si="4"/>
        <v>0.10456028365957537</v>
      </c>
      <c r="AL4" s="61">
        <f t="shared" si="4"/>
        <v>9.9557666858361357E-2</v>
      </c>
      <c r="AM4" s="61">
        <f t="shared" si="4"/>
        <v>0.10144716273553056</v>
      </c>
      <c r="AN4" s="61">
        <f t="shared" si="4"/>
        <v>0.10144716273553056</v>
      </c>
      <c r="AO4" s="61">
        <f t="shared" si="4"/>
        <v>9.7944764849854177E-2</v>
      </c>
      <c r="AP4" s="61">
        <f t="shared" si="4"/>
        <v>9.7944764849854177E-2</v>
      </c>
      <c r="AQ4" s="61">
        <f t="shared" si="4"/>
        <v>9.7944764849854177E-2</v>
      </c>
      <c r="AR4" s="61">
        <f t="shared" si="4"/>
        <v>9.2659613365468838E-2</v>
      </c>
      <c r="AS4" s="61">
        <f t="shared" si="4"/>
        <v>9.8827041821481776E-2</v>
      </c>
      <c r="AT4" s="61">
        <f t="shared" si="4"/>
        <v>9.8827041821481776E-2</v>
      </c>
      <c r="AU4" s="61">
        <f t="shared" si="4"/>
        <v>9.8827041821481776E-2</v>
      </c>
      <c r="AV4" s="61">
        <f t="shared" si="4"/>
        <v>9.9171129872175384E-2</v>
      </c>
      <c r="AW4" s="61">
        <f t="shared" si="4"/>
        <v>0.10549979358729293</v>
      </c>
      <c r="AX4" s="61">
        <f t="shared" si="4"/>
        <v>0.10549979358729293</v>
      </c>
      <c r="AY4" s="61">
        <f t="shared" si="4"/>
        <v>0.10549979358729293</v>
      </c>
      <c r="AZ4" s="61">
        <f t="shared" si="4"/>
        <v>9.8273547633745018E-2</v>
      </c>
      <c r="BA4" s="61">
        <f t="shared" si="4"/>
        <v>9.8273547633745018E-2</v>
      </c>
      <c r="BB4" s="61">
        <f t="shared" si="4"/>
        <v>9.9178075980709449E-2</v>
      </c>
      <c r="BC4" s="61">
        <f t="shared" si="4"/>
        <v>9.8124681706739519E-2</v>
      </c>
      <c r="BD4" s="61">
        <f t="shared" si="4"/>
        <v>0.10467262104030484</v>
      </c>
      <c r="BE4" s="61">
        <f t="shared" si="4"/>
        <v>9.9455376971890816E-2</v>
      </c>
      <c r="BF4" s="61">
        <f t="shared" si="4"/>
        <v>9.9455376971890816E-2</v>
      </c>
      <c r="BG4" s="61">
        <f t="shared" si="4"/>
        <v>9.3444236773110187E-2</v>
      </c>
      <c r="BH4" s="61">
        <f t="shared" si="4"/>
        <v>9.775527236655196E-2</v>
      </c>
      <c r="BI4" s="61">
        <f t="shared" si="4"/>
        <v>9.775527236655196E-2</v>
      </c>
      <c r="BJ4" s="61">
        <f t="shared" si="4"/>
        <v>9.486679368199824E-2</v>
      </c>
      <c r="BK4" s="61">
        <f t="shared" si="4"/>
        <v>9.486679368199824E-2</v>
      </c>
      <c r="BL4" s="61">
        <f t="shared" si="4"/>
        <v>9.5851251672238263E-2</v>
      </c>
      <c r="BM4" s="61">
        <f t="shared" si="4"/>
        <v>9.7018375109243438E-2</v>
      </c>
      <c r="BN4" s="61">
        <f t="shared" si="4"/>
        <v>9.5448931919662999E-2</v>
      </c>
      <c r="BO4" s="61">
        <f t="shared" si="4"/>
        <v>9.7819110341165805E-2</v>
      </c>
      <c r="BP4" s="61">
        <f t="shared" si="4"/>
        <v>9.8012562880188142E-2</v>
      </c>
      <c r="BQ4" s="61">
        <f t="shared" ref="BQ4:CV4" si="5">((BQ19-BQ$30)/BQ$30*BQ$31+1)*$B$19/SUM($B$18:$B$29)</f>
        <v>9.8012562880188142E-2</v>
      </c>
      <c r="BR4" s="61">
        <f t="shared" si="5"/>
        <v>9.8306397186680744E-2</v>
      </c>
      <c r="BS4" s="61">
        <f t="shared" si="5"/>
        <v>9.8237538757186604E-2</v>
      </c>
      <c r="BT4" s="61">
        <f t="shared" si="5"/>
        <v>0.10152535982972216</v>
      </c>
      <c r="BU4" s="61">
        <f t="shared" si="5"/>
        <v>0.10221710661915223</v>
      </c>
      <c r="BV4" s="61">
        <f t="shared" si="5"/>
        <v>9.895646874331003E-2</v>
      </c>
      <c r="BW4" s="61">
        <f t="shared" si="5"/>
        <v>9.895646874331003E-2</v>
      </c>
      <c r="BX4" s="61">
        <f t="shared" si="5"/>
        <v>0.10054380961059237</v>
      </c>
      <c r="BY4" s="61">
        <f t="shared" si="5"/>
        <v>9.8303243857378667E-2</v>
      </c>
      <c r="BZ4" s="61">
        <f t="shared" si="5"/>
        <v>9.6663718510206179E-2</v>
      </c>
      <c r="CA4" s="61">
        <f t="shared" si="5"/>
        <v>9.5472018291414024E-2</v>
      </c>
      <c r="CB4" s="61">
        <f t="shared" si="5"/>
        <v>9.8151150289542563E-2</v>
      </c>
      <c r="CC4" s="61">
        <f t="shared" si="5"/>
        <v>9.4807489850496168E-2</v>
      </c>
      <c r="CD4" s="61">
        <f t="shared" si="5"/>
        <v>9.7378993305087633E-2</v>
      </c>
      <c r="CE4" s="61">
        <f t="shared" si="5"/>
        <v>9.4274903787808742E-2</v>
      </c>
      <c r="CF4" s="61">
        <f t="shared" si="5"/>
        <v>0.10351769642523521</v>
      </c>
      <c r="CG4" s="61">
        <f t="shared" si="5"/>
        <v>9.5769680771860863E-2</v>
      </c>
      <c r="CH4" s="61">
        <f t="shared" si="5"/>
        <v>9.59568186240701E-2</v>
      </c>
      <c r="CI4" s="61">
        <f t="shared" si="5"/>
        <v>9.4025478486316871E-2</v>
      </c>
      <c r="CJ4" s="61">
        <f t="shared" si="5"/>
        <v>9.3071848520346681E-2</v>
      </c>
      <c r="CK4" s="61">
        <f t="shared" si="5"/>
        <v>9.560887525725062E-2</v>
      </c>
      <c r="CL4" s="61">
        <f t="shared" si="5"/>
        <v>9.7454737234466002E-2</v>
      </c>
      <c r="CM4" s="61">
        <f t="shared" si="5"/>
        <v>9.7454737234466002E-2</v>
      </c>
      <c r="CN4" s="61">
        <f t="shared" si="5"/>
        <v>9.8273547633745018E-2</v>
      </c>
      <c r="CO4" s="61">
        <f t="shared" si="5"/>
        <v>9.8273547633745018E-2</v>
      </c>
      <c r="CP4" s="61">
        <v>6.3103932031833856E-2</v>
      </c>
      <c r="CQ4" s="61">
        <v>5.6996802983881718E-2</v>
      </c>
      <c r="CR4" s="61" t="s">
        <v>47</v>
      </c>
      <c r="CS4" s="61">
        <f t="shared" si="5"/>
        <v>9.8255385988577706E-2</v>
      </c>
      <c r="CT4" s="61">
        <f t="shared" si="5"/>
        <v>9.3615388684785944E-2</v>
      </c>
      <c r="CU4" s="61">
        <f t="shared" si="5"/>
        <v>9.6513618543531479E-2</v>
      </c>
      <c r="CV4" s="61">
        <f t="shared" si="5"/>
        <v>9.2994377507510467E-2</v>
      </c>
      <c r="CW4" s="214">
        <v>4.5260000000000002E-2</v>
      </c>
      <c r="CX4" s="214">
        <v>5.8560000000000001E-2</v>
      </c>
      <c r="CY4" s="61">
        <f t="shared" ref="CY4" si="6">((CY19-CY$30)/CY$30*CY$31+1)*$B$19/SUM($B$18:$B$29)</f>
        <v>0.10173897636763184</v>
      </c>
      <c r="CZ4" s="61">
        <f>((CZ19-CZ$30)/CZ$30*CZ$31+1)*$B$19/SUM($B$18:$B$29)</f>
        <v>9.7107689897452346E-2</v>
      </c>
      <c r="DA4" s="61">
        <v>0.104</v>
      </c>
      <c r="DB4" s="62">
        <v>0.104</v>
      </c>
      <c r="DC4" s="61">
        <v>0.104</v>
      </c>
      <c r="DD4" s="61">
        <v>0.112</v>
      </c>
    </row>
    <row r="5" spans="3:108" x14ac:dyDescent="0.35">
      <c r="C5" s="63" t="s">
        <v>266</v>
      </c>
      <c r="D5" s="61">
        <f>((D20-D$30)/D$30*D$31+1)*$B$20/SUM($B$18:$B$29)</f>
        <v>0.10236957365123119</v>
      </c>
      <c r="E5" s="61">
        <f t="shared" ref="E5:BP5" si="7">((E20-E$30)/E$30*E$31+1)*$B$20/SUM($B$18:$B$29)</f>
        <v>0.10236957365123119</v>
      </c>
      <c r="F5" s="61">
        <f t="shared" si="7"/>
        <v>9.5629735216937226E-2</v>
      </c>
      <c r="G5" s="61">
        <f t="shared" si="7"/>
        <v>9.5103861202950099E-2</v>
      </c>
      <c r="H5" s="61">
        <f t="shared" si="7"/>
        <v>0.10197467640815142</v>
      </c>
      <c r="I5" s="61">
        <f t="shared" si="7"/>
        <v>0.10197467640815142</v>
      </c>
      <c r="J5" s="61">
        <f t="shared" si="7"/>
        <v>0.10197467640815142</v>
      </c>
      <c r="K5" s="61">
        <f t="shared" si="7"/>
        <v>0.10197467640815142</v>
      </c>
      <c r="L5" s="61">
        <f t="shared" si="7"/>
        <v>9.7075766433405861E-2</v>
      </c>
      <c r="M5" s="61">
        <f t="shared" si="7"/>
        <v>9.7075766433405861E-2</v>
      </c>
      <c r="N5" s="61">
        <f t="shared" si="7"/>
        <v>9.7977079481246995E-2</v>
      </c>
      <c r="O5" s="61">
        <f t="shared" si="7"/>
        <v>9.3172807652354653E-2</v>
      </c>
      <c r="P5" s="61">
        <f t="shared" si="7"/>
        <v>9.5224499711351121E-2</v>
      </c>
      <c r="Q5" s="61">
        <f t="shared" si="7"/>
        <v>9.4418615794602562E-2</v>
      </c>
      <c r="R5" s="61">
        <f t="shared" si="7"/>
        <v>9.5697310309500419E-2</v>
      </c>
      <c r="S5" s="61">
        <f t="shared" si="7"/>
        <v>9.5697310309500419E-2</v>
      </c>
      <c r="T5" s="61">
        <f t="shared" si="7"/>
        <v>9.5697310309500419E-2</v>
      </c>
      <c r="U5" s="61">
        <f t="shared" si="7"/>
        <v>9.5660085228524039E-2</v>
      </c>
      <c r="V5" s="61">
        <f t="shared" si="7"/>
        <v>9.2316704906836342E-2</v>
      </c>
      <c r="W5" s="61">
        <f t="shared" si="7"/>
        <v>9.2316704906836342E-2</v>
      </c>
      <c r="X5" s="61">
        <f t="shared" si="7"/>
        <v>9.2316704906836342E-2</v>
      </c>
      <c r="Y5" s="61">
        <f t="shared" si="7"/>
        <v>9.2316704906836342E-2</v>
      </c>
      <c r="Z5" s="61">
        <f t="shared" si="7"/>
        <v>9.4620272916568285E-2</v>
      </c>
      <c r="AA5" s="61">
        <f t="shared" si="7"/>
        <v>9.7500890699765391E-2</v>
      </c>
      <c r="AB5" s="61">
        <f t="shared" si="7"/>
        <v>9.7500890699765391E-2</v>
      </c>
      <c r="AC5" s="61">
        <f t="shared" si="7"/>
        <v>9.7500890699765391E-2</v>
      </c>
      <c r="AD5" s="61">
        <f t="shared" si="7"/>
        <v>9.7500890699765391E-2</v>
      </c>
      <c r="AE5" s="61">
        <f t="shared" si="7"/>
        <v>9.4468622260908394E-2</v>
      </c>
      <c r="AF5" s="61">
        <f t="shared" si="7"/>
        <v>9.4468622260908394E-2</v>
      </c>
      <c r="AG5" s="61">
        <f t="shared" si="7"/>
        <v>9.4977265241617093E-2</v>
      </c>
      <c r="AH5" s="61">
        <f t="shared" si="7"/>
        <v>9.4977265241617093E-2</v>
      </c>
      <c r="AI5" s="61">
        <f t="shared" si="7"/>
        <v>0.10515623346001457</v>
      </c>
      <c r="AJ5" s="61">
        <f t="shared" si="7"/>
        <v>9.7149596275195996E-2</v>
      </c>
      <c r="AK5" s="61">
        <f t="shared" si="7"/>
        <v>9.7081002825674723E-2</v>
      </c>
      <c r="AL5" s="61">
        <f t="shared" si="7"/>
        <v>9.9400231377351711E-2</v>
      </c>
      <c r="AM5" s="61">
        <f t="shared" si="7"/>
        <v>9.7214258620189273E-2</v>
      </c>
      <c r="AN5" s="61">
        <f t="shared" si="7"/>
        <v>9.7214258620189273E-2</v>
      </c>
      <c r="AO5" s="61">
        <f t="shared" si="7"/>
        <v>9.6796149144010524E-2</v>
      </c>
      <c r="AP5" s="61">
        <f t="shared" si="7"/>
        <v>9.6796149144010524E-2</v>
      </c>
      <c r="AQ5" s="61">
        <f t="shared" si="7"/>
        <v>9.6796149144010524E-2</v>
      </c>
      <c r="AR5" s="61">
        <f t="shared" si="7"/>
        <v>0.103675215469515</v>
      </c>
      <c r="AS5" s="61">
        <f t="shared" si="7"/>
        <v>0.10067926411661551</v>
      </c>
      <c r="AT5" s="61">
        <f t="shared" si="7"/>
        <v>0.10067926411661551</v>
      </c>
      <c r="AU5" s="61">
        <f t="shared" si="7"/>
        <v>0.10067926411661551</v>
      </c>
      <c r="AV5" s="61">
        <f t="shared" si="7"/>
        <v>9.6406565137822975E-2</v>
      </c>
      <c r="AW5" s="61">
        <f t="shared" si="7"/>
        <v>9.809461698699766E-2</v>
      </c>
      <c r="AX5" s="61">
        <f t="shared" si="7"/>
        <v>9.809461698699766E-2</v>
      </c>
      <c r="AY5" s="61">
        <f t="shared" si="7"/>
        <v>9.809461698699766E-2</v>
      </c>
      <c r="AZ5" s="61">
        <f t="shared" si="7"/>
        <v>9.8581722583489129E-2</v>
      </c>
      <c r="BA5" s="61">
        <f t="shared" si="7"/>
        <v>9.8581722583489129E-2</v>
      </c>
      <c r="BB5" s="61">
        <f t="shared" si="7"/>
        <v>9.6723465381665819E-2</v>
      </c>
      <c r="BC5" s="61">
        <f t="shared" si="7"/>
        <v>9.6900278181066543E-2</v>
      </c>
      <c r="BD5" s="61">
        <f t="shared" si="7"/>
        <v>9.4254821948420414E-2</v>
      </c>
      <c r="BE5" s="61">
        <f t="shared" si="7"/>
        <v>9.6644958020177404E-2</v>
      </c>
      <c r="BF5" s="61">
        <f t="shared" si="7"/>
        <v>9.6644958020177404E-2</v>
      </c>
      <c r="BG5" s="61">
        <f t="shared" si="7"/>
        <v>9.3050886639930719E-2</v>
      </c>
      <c r="BH5" s="61">
        <f t="shared" si="7"/>
        <v>9.3563167741645789E-2</v>
      </c>
      <c r="BI5" s="61">
        <f t="shared" si="7"/>
        <v>9.3563167741645789E-2</v>
      </c>
      <c r="BJ5" s="61">
        <f t="shared" si="7"/>
        <v>9.164148388673958E-2</v>
      </c>
      <c r="BK5" s="61">
        <f t="shared" si="7"/>
        <v>9.164148388673958E-2</v>
      </c>
      <c r="BL5" s="61">
        <f t="shared" si="7"/>
        <v>9.1947703251862967E-2</v>
      </c>
      <c r="BM5" s="61">
        <f t="shared" si="7"/>
        <v>9.3064477299780443E-2</v>
      </c>
      <c r="BN5" s="61">
        <f t="shared" si="7"/>
        <v>9.3280502911301494E-2</v>
      </c>
      <c r="BO5" s="61">
        <f t="shared" si="7"/>
        <v>9.7567695858269701E-2</v>
      </c>
      <c r="BP5" s="61">
        <f t="shared" si="7"/>
        <v>9.7559221746861713E-2</v>
      </c>
      <c r="BQ5" s="61">
        <f t="shared" ref="BQ5:CV5" si="8">((BQ20-BQ$30)/BQ$30*BQ$31+1)*$B$20/SUM($B$18:$B$29)</f>
        <v>9.7559221746861713E-2</v>
      </c>
      <c r="BR5" s="61">
        <f t="shared" si="8"/>
        <v>9.4569768526187495E-2</v>
      </c>
      <c r="BS5" s="61">
        <f t="shared" si="8"/>
        <v>9.4664856845096554E-2</v>
      </c>
      <c r="BT5" s="61">
        <f t="shared" si="8"/>
        <v>9.2266958950324329E-2</v>
      </c>
      <c r="BU5" s="61">
        <f t="shared" si="8"/>
        <v>9.3753059291331528E-2</v>
      </c>
      <c r="BV5" s="61">
        <f t="shared" si="8"/>
        <v>9.361348316555132E-2</v>
      </c>
      <c r="BW5" s="61">
        <f t="shared" si="8"/>
        <v>9.361348316555132E-2</v>
      </c>
      <c r="BX5" s="61">
        <f t="shared" si="8"/>
        <v>9.4143841991262481E-2</v>
      </c>
      <c r="BY5" s="61">
        <f t="shared" si="8"/>
        <v>9.4179307350019864E-2</v>
      </c>
      <c r="BZ5" s="61">
        <f t="shared" si="8"/>
        <v>9.3814784168696569E-2</v>
      </c>
      <c r="CA5" s="61">
        <f t="shared" si="8"/>
        <v>9.8304241856556507E-2</v>
      </c>
      <c r="CB5" s="61">
        <f t="shared" si="8"/>
        <v>9.650314860002962E-2</v>
      </c>
      <c r="CC5" s="61">
        <f t="shared" si="8"/>
        <v>9.8478673447810153E-2</v>
      </c>
      <c r="CD5" s="61">
        <f t="shared" si="8"/>
        <v>9.8705277785123696E-2</v>
      </c>
      <c r="CE5" s="61">
        <f t="shared" si="8"/>
        <v>9.6954581294440068E-2</v>
      </c>
      <c r="CF5" s="61">
        <f t="shared" si="8"/>
        <v>0.10369919789996213</v>
      </c>
      <c r="CG5" s="61">
        <f t="shared" si="8"/>
        <v>9.8239208627043773E-2</v>
      </c>
      <c r="CH5" s="61">
        <f t="shared" si="8"/>
        <v>9.358984591846238E-2</v>
      </c>
      <c r="CI5" s="61">
        <f t="shared" si="8"/>
        <v>9.2630462733273536E-2</v>
      </c>
      <c r="CJ5" s="61">
        <f t="shared" si="8"/>
        <v>9.1724555518361742E-2</v>
      </c>
      <c r="CK5" s="61">
        <f t="shared" si="8"/>
        <v>9.1973776206918198E-2</v>
      </c>
      <c r="CL5" s="61">
        <f t="shared" si="8"/>
        <v>9.3924420267227166E-2</v>
      </c>
      <c r="CM5" s="61">
        <f t="shared" si="8"/>
        <v>9.3924420267227166E-2</v>
      </c>
      <c r="CN5" s="61">
        <f t="shared" si="8"/>
        <v>9.8581722583489129E-2</v>
      </c>
      <c r="CO5" s="61">
        <f t="shared" si="8"/>
        <v>9.8581722583489129E-2</v>
      </c>
      <c r="CP5" s="61">
        <v>8.9345885067719052E-2</v>
      </c>
      <c r="CQ5" s="61">
        <v>8.9316637804715604E-2</v>
      </c>
      <c r="CR5" s="61" t="s">
        <v>47</v>
      </c>
      <c r="CS5" s="61">
        <f t="shared" si="8"/>
        <v>9.686777111467329E-2</v>
      </c>
      <c r="CT5" s="61">
        <f t="shared" si="8"/>
        <v>9.5553045670970657E-2</v>
      </c>
      <c r="CU5" s="61">
        <f t="shared" si="8"/>
        <v>9.3509543026731506E-2</v>
      </c>
      <c r="CV5" s="61">
        <f t="shared" si="8"/>
        <v>9.53014869285322E-2</v>
      </c>
      <c r="CW5" s="214">
        <v>8.931E-2</v>
      </c>
      <c r="CX5" s="214">
        <v>8.9829999999999993E-2</v>
      </c>
      <c r="CY5" s="61">
        <f t="shared" ref="CY5" si="9">((CY20-CY$30)/CY$30*CY$31+1)*$B$20/SUM($B$18:$B$29)</f>
        <v>9.8908622124154827E-2</v>
      </c>
      <c r="CZ5" s="61">
        <f>((CZ20-CZ$30)/CZ$30*CZ$31+1)*$B$20/SUM($B$18:$B$29)</f>
        <v>0.11946277968679953</v>
      </c>
      <c r="DA5" s="61">
        <v>0.10199999999999999</v>
      </c>
      <c r="DB5" s="62">
        <v>0.10100000000000001</v>
      </c>
      <c r="DC5" s="61">
        <v>0.10199999999999999</v>
      </c>
      <c r="DD5" s="61">
        <v>0.10199999999999999</v>
      </c>
    </row>
    <row r="6" spans="3:108" x14ac:dyDescent="0.35">
      <c r="C6" s="63" t="s">
        <v>267</v>
      </c>
      <c r="D6" s="61">
        <f>((D21-D$30)/D$30*D$31+1)*$B$21/SUM($B$18:$B$29)</f>
        <v>9.1910927237227713E-2</v>
      </c>
      <c r="E6" s="61">
        <f t="shared" ref="E6:BP6" si="10">((E21-E$30)/E$30*E$31+1)*$B$21/SUM($B$18:$B$29)</f>
        <v>9.1910927237227713E-2</v>
      </c>
      <c r="F6" s="61">
        <f t="shared" si="10"/>
        <v>6.7039165365902334E-2</v>
      </c>
      <c r="G6" s="61">
        <f t="shared" si="10"/>
        <v>6.6683805870940013E-2</v>
      </c>
      <c r="H6" s="61">
        <f t="shared" si="10"/>
        <v>9.0802187957349401E-2</v>
      </c>
      <c r="I6" s="61">
        <f t="shared" si="10"/>
        <v>9.0802187957349401E-2</v>
      </c>
      <c r="J6" s="61">
        <f t="shared" si="10"/>
        <v>9.0802187957349401E-2</v>
      </c>
      <c r="K6" s="61">
        <f t="shared" si="10"/>
        <v>9.0802187957349401E-2</v>
      </c>
      <c r="L6" s="61">
        <f t="shared" si="10"/>
        <v>8.2809881000699345E-2</v>
      </c>
      <c r="M6" s="61">
        <f t="shared" si="10"/>
        <v>8.2809881000699345E-2</v>
      </c>
      <c r="N6" s="61">
        <f t="shared" si="10"/>
        <v>8.2859691489492363E-2</v>
      </c>
      <c r="O6" s="61">
        <f t="shared" si="10"/>
        <v>7.8856330138044578E-2</v>
      </c>
      <c r="P6" s="61">
        <f t="shared" si="10"/>
        <v>8.8163375078091424E-2</v>
      </c>
      <c r="Q6" s="61">
        <f t="shared" si="10"/>
        <v>6.7566382876743089E-2</v>
      </c>
      <c r="R6" s="61">
        <f t="shared" si="10"/>
        <v>7.2897081473012409E-2</v>
      </c>
      <c r="S6" s="61">
        <f t="shared" si="10"/>
        <v>7.2897081473012409E-2</v>
      </c>
      <c r="T6" s="61">
        <f t="shared" si="10"/>
        <v>7.2897081473012409E-2</v>
      </c>
      <c r="U6" s="61">
        <f t="shared" si="10"/>
        <v>7.9475465321736105E-2</v>
      </c>
      <c r="V6" s="61">
        <f t="shared" si="10"/>
        <v>7.1408351871088599E-2</v>
      </c>
      <c r="W6" s="61">
        <f t="shared" si="10"/>
        <v>7.1408351871088599E-2</v>
      </c>
      <c r="X6" s="61">
        <f t="shared" si="10"/>
        <v>7.1408351871088599E-2</v>
      </c>
      <c r="Y6" s="61">
        <f t="shared" si="10"/>
        <v>7.1408351871088599E-2</v>
      </c>
      <c r="Z6" s="61">
        <f t="shared" si="10"/>
        <v>6.969613469177903E-2</v>
      </c>
      <c r="AA6" s="61">
        <f t="shared" si="10"/>
        <v>8.4617018633737509E-2</v>
      </c>
      <c r="AB6" s="61">
        <f t="shared" si="10"/>
        <v>8.4617018633737509E-2</v>
      </c>
      <c r="AC6" s="61">
        <f t="shared" si="10"/>
        <v>8.4617018633737509E-2</v>
      </c>
      <c r="AD6" s="61">
        <f t="shared" si="10"/>
        <v>8.4617018633737509E-2</v>
      </c>
      <c r="AE6" s="61">
        <f t="shared" si="10"/>
        <v>7.2029958019625376E-2</v>
      </c>
      <c r="AF6" s="61">
        <f t="shared" si="10"/>
        <v>7.2029958019625376E-2</v>
      </c>
      <c r="AG6" s="61">
        <f t="shared" si="10"/>
        <v>7.4397379129504851E-2</v>
      </c>
      <c r="AH6" s="61">
        <f t="shared" si="10"/>
        <v>7.4397379129504851E-2</v>
      </c>
      <c r="AI6" s="61">
        <f t="shared" si="10"/>
        <v>9.3156229327770401E-2</v>
      </c>
      <c r="AJ6" s="61">
        <f t="shared" si="10"/>
        <v>7.6207521059767372E-2</v>
      </c>
      <c r="AK6" s="61">
        <f t="shared" si="10"/>
        <v>8.0482567479377598E-2</v>
      </c>
      <c r="AL6" s="61">
        <f t="shared" si="10"/>
        <v>7.8869796977836568E-2</v>
      </c>
      <c r="AM6" s="61">
        <f t="shared" si="10"/>
        <v>8.1572703114926606E-2</v>
      </c>
      <c r="AN6" s="61">
        <f t="shared" si="10"/>
        <v>8.1572703114926606E-2</v>
      </c>
      <c r="AO6" s="61">
        <f t="shared" si="10"/>
        <v>8.0357773056715487E-2</v>
      </c>
      <c r="AP6" s="61">
        <f t="shared" si="10"/>
        <v>8.0357773056715487E-2</v>
      </c>
      <c r="AQ6" s="61">
        <f t="shared" si="10"/>
        <v>8.0357773056715487E-2</v>
      </c>
      <c r="AR6" s="61">
        <f t="shared" si="10"/>
        <v>9.8280742382932967E-2</v>
      </c>
      <c r="AS6" s="61">
        <f t="shared" si="10"/>
        <v>8.2879549654116438E-2</v>
      </c>
      <c r="AT6" s="61">
        <f t="shared" si="10"/>
        <v>8.2879549654116438E-2</v>
      </c>
      <c r="AU6" s="61">
        <f t="shared" si="10"/>
        <v>8.2879549654116438E-2</v>
      </c>
      <c r="AV6" s="61">
        <f t="shared" si="10"/>
        <v>7.8431058186057501E-2</v>
      </c>
      <c r="AW6" s="61">
        <f t="shared" si="10"/>
        <v>8.2011253302539083E-2</v>
      </c>
      <c r="AX6" s="61">
        <f t="shared" si="10"/>
        <v>8.2011253302539083E-2</v>
      </c>
      <c r="AY6" s="61">
        <f t="shared" si="10"/>
        <v>8.2011253302539083E-2</v>
      </c>
      <c r="AZ6" s="61">
        <f t="shared" si="10"/>
        <v>8.527845717152048E-2</v>
      </c>
      <c r="BA6" s="61">
        <f t="shared" si="10"/>
        <v>8.527845717152048E-2</v>
      </c>
      <c r="BB6" s="61">
        <f t="shared" si="10"/>
        <v>7.9821942693353951E-2</v>
      </c>
      <c r="BC6" s="61">
        <f t="shared" si="10"/>
        <v>8.0342246850975338E-2</v>
      </c>
      <c r="BD6" s="61">
        <f t="shared" si="10"/>
        <v>6.6568520547503923E-2</v>
      </c>
      <c r="BE6" s="61">
        <f t="shared" si="10"/>
        <v>8.2856267839198458E-2</v>
      </c>
      <c r="BF6" s="61">
        <f t="shared" si="10"/>
        <v>8.2856267839198458E-2</v>
      </c>
      <c r="BG6" s="61">
        <f t="shared" si="10"/>
        <v>7.7448529137105232E-2</v>
      </c>
      <c r="BH6" s="61">
        <f t="shared" si="10"/>
        <v>7.4217730064868051E-2</v>
      </c>
      <c r="BI6" s="61">
        <f t="shared" si="10"/>
        <v>7.4217730064868051E-2</v>
      </c>
      <c r="BJ6" s="61">
        <f t="shared" si="10"/>
        <v>7.4081045581525104E-2</v>
      </c>
      <c r="BK6" s="61">
        <f t="shared" si="10"/>
        <v>7.4081045581525104E-2</v>
      </c>
      <c r="BL6" s="61">
        <f t="shared" si="10"/>
        <v>7.3634791289467455E-2</v>
      </c>
      <c r="BM6" s="61">
        <f t="shared" si="10"/>
        <v>7.4351811378683672E-2</v>
      </c>
      <c r="BN6" s="61">
        <f t="shared" si="10"/>
        <v>7.5589869767804435E-2</v>
      </c>
      <c r="BO6" s="61">
        <f t="shared" si="10"/>
        <v>8.6076141941689846E-2</v>
      </c>
      <c r="BP6" s="61">
        <f t="shared" si="10"/>
        <v>7.8475352501817225E-2</v>
      </c>
      <c r="BQ6" s="61">
        <f t="shared" ref="BQ6:CV6" si="11">((BQ21-BQ$30)/BQ$30*BQ$31+1)*$B$21/SUM($B$18:$B$29)</f>
        <v>7.8475352501817225E-2</v>
      </c>
      <c r="BR6" s="61">
        <f t="shared" si="11"/>
        <v>7.922380213596561E-2</v>
      </c>
      <c r="BS6" s="61">
        <f t="shared" si="11"/>
        <v>7.9428915989441767E-2</v>
      </c>
      <c r="BT6" s="61">
        <f t="shared" si="11"/>
        <v>7.3916488532393659E-2</v>
      </c>
      <c r="BU6" s="61">
        <f t="shared" si="11"/>
        <v>7.1653438514603318E-2</v>
      </c>
      <c r="BV6" s="61">
        <f t="shared" si="11"/>
        <v>7.2781030528475829E-2</v>
      </c>
      <c r="BW6" s="61">
        <f t="shared" si="11"/>
        <v>7.2781030528475829E-2</v>
      </c>
      <c r="BX6" s="61">
        <f t="shared" si="11"/>
        <v>7.1544618716387121E-2</v>
      </c>
      <c r="BY6" s="61">
        <f t="shared" si="11"/>
        <v>7.5093273123183354E-2</v>
      </c>
      <c r="BZ6" s="61">
        <f t="shared" si="11"/>
        <v>8.8960116817406093E-2</v>
      </c>
      <c r="CA6" s="61">
        <f t="shared" si="11"/>
        <v>8.3012976009238917E-2</v>
      </c>
      <c r="CB6" s="61">
        <f t="shared" si="11"/>
        <v>8.0290401271903511E-2</v>
      </c>
      <c r="CC6" s="61">
        <f t="shared" si="11"/>
        <v>8.5445504577140757E-2</v>
      </c>
      <c r="CD6" s="61">
        <f t="shared" si="11"/>
        <v>7.5899165521677747E-2</v>
      </c>
      <c r="CE6" s="61">
        <f t="shared" si="11"/>
        <v>7.7438265854721938E-2</v>
      </c>
      <c r="CF6" s="61">
        <f t="shared" si="11"/>
        <v>7.7016804425217328E-2</v>
      </c>
      <c r="CG6" s="61">
        <f t="shared" si="11"/>
        <v>7.7093043159336599E-2</v>
      </c>
      <c r="CH6" s="61">
        <f t="shared" si="11"/>
        <v>7.6419409741793107E-2</v>
      </c>
      <c r="CI6" s="61">
        <f t="shared" si="11"/>
        <v>7.5954809218074723E-2</v>
      </c>
      <c r="CJ6" s="61">
        <f t="shared" si="11"/>
        <v>7.6171306553818624E-2</v>
      </c>
      <c r="CK6" s="61">
        <f t="shared" si="11"/>
        <v>7.4362319335459517E-2</v>
      </c>
      <c r="CL6" s="61">
        <f t="shared" si="11"/>
        <v>7.4973194636542825E-2</v>
      </c>
      <c r="CM6" s="61">
        <f t="shared" si="11"/>
        <v>7.4973194636542825E-2</v>
      </c>
      <c r="CN6" s="61">
        <f t="shared" si="11"/>
        <v>8.527845717152048E-2</v>
      </c>
      <c r="CO6" s="61">
        <f t="shared" si="11"/>
        <v>8.527845717152048E-2</v>
      </c>
      <c r="CP6" s="61">
        <v>9.1306000970224593E-2</v>
      </c>
      <c r="CQ6" s="61">
        <v>9.8874383908352209E-2</v>
      </c>
      <c r="CR6" s="61" t="s">
        <v>47</v>
      </c>
      <c r="CS6" s="61">
        <f t="shared" si="11"/>
        <v>8.2798386272516331E-2</v>
      </c>
      <c r="CT6" s="61">
        <f t="shared" si="11"/>
        <v>7.8775142173839269E-2</v>
      </c>
      <c r="CU6" s="61">
        <f t="shared" si="11"/>
        <v>7.5150214489771813E-2</v>
      </c>
      <c r="CV6" s="61">
        <f t="shared" si="11"/>
        <v>6.8802492830988771E-2</v>
      </c>
      <c r="CW6" s="214">
        <v>0.10204000000000001</v>
      </c>
      <c r="CX6" s="214">
        <v>9.597E-2</v>
      </c>
      <c r="CY6" s="61">
        <f t="shared" ref="CY6" si="12">((CY21-CY$30)/CY$30*CY$31+1)*$B$21/SUM($B$18:$B$29)</f>
        <v>7.5051203429697649E-2</v>
      </c>
      <c r="CZ6" s="61">
        <f>((CZ21-CZ$30)/CZ$30*CZ$31+1)*$B$21/SUM($B$18:$B$29)</f>
        <v>7.185762688845608E-2</v>
      </c>
      <c r="DA6" s="61">
        <v>7.5999999999999998E-2</v>
      </c>
      <c r="DB6" s="62">
        <v>7.5999999999999998E-2</v>
      </c>
      <c r="DC6" s="61">
        <v>7.5999999999999998E-2</v>
      </c>
      <c r="DD6" s="61">
        <v>6.6000000000000003E-2</v>
      </c>
    </row>
    <row r="7" spans="3:108" x14ac:dyDescent="0.35">
      <c r="C7" s="63" t="s">
        <v>268</v>
      </c>
      <c r="D7" s="61">
        <f>((D22-D$30)/D$30*D$31+1)*$B$22/SUM($B$18:$B$29)</f>
        <v>8.8664268468822374E-2</v>
      </c>
      <c r="E7" s="61">
        <f t="shared" ref="E7:BP7" si="13">((E22-E$30)/E$30*E$31+1)*$B$22/SUM($B$18:$B$29)</f>
        <v>8.8664268468822374E-2</v>
      </c>
      <c r="F7" s="61">
        <f t="shared" si="13"/>
        <v>6.3149243151783149E-2</v>
      </c>
      <c r="G7" s="61">
        <f t="shared" si="13"/>
        <v>6.3290924483387717E-2</v>
      </c>
      <c r="H7" s="61">
        <f t="shared" si="13"/>
        <v>7.3464555425368436E-2</v>
      </c>
      <c r="I7" s="61">
        <f t="shared" si="13"/>
        <v>7.3464555425368436E-2</v>
      </c>
      <c r="J7" s="61">
        <f t="shared" si="13"/>
        <v>7.3464555425368436E-2</v>
      </c>
      <c r="K7" s="61">
        <f t="shared" si="13"/>
        <v>7.3464555425368436E-2</v>
      </c>
      <c r="L7" s="61">
        <f t="shared" si="13"/>
        <v>7.1746241500100297E-2</v>
      </c>
      <c r="M7" s="61">
        <f t="shared" si="13"/>
        <v>7.1746241500100297E-2</v>
      </c>
      <c r="N7" s="61">
        <f t="shared" si="13"/>
        <v>7.0776623729004076E-2</v>
      </c>
      <c r="O7" s="61">
        <f t="shared" si="13"/>
        <v>6.9161281775976705E-2</v>
      </c>
      <c r="P7" s="61">
        <f t="shared" si="13"/>
        <v>7.7571161489088158E-2</v>
      </c>
      <c r="Q7" s="61">
        <f t="shared" si="13"/>
        <v>6.4462966251324125E-2</v>
      </c>
      <c r="R7" s="61">
        <f t="shared" si="13"/>
        <v>6.9827557302193657E-2</v>
      </c>
      <c r="S7" s="61">
        <f t="shared" si="13"/>
        <v>6.9827557302193657E-2</v>
      </c>
      <c r="T7" s="61">
        <f t="shared" si="13"/>
        <v>6.9827557302193657E-2</v>
      </c>
      <c r="U7" s="61">
        <f t="shared" si="13"/>
        <v>7.3051441988213006E-2</v>
      </c>
      <c r="V7" s="61">
        <f t="shared" si="13"/>
        <v>6.8983399811291396E-2</v>
      </c>
      <c r="W7" s="61">
        <f t="shared" si="13"/>
        <v>6.8983399811291396E-2</v>
      </c>
      <c r="X7" s="61">
        <f t="shared" si="13"/>
        <v>6.8983399811291396E-2</v>
      </c>
      <c r="Y7" s="61">
        <f t="shared" si="13"/>
        <v>6.8983399811291396E-2</v>
      </c>
      <c r="Z7" s="61">
        <f t="shared" si="13"/>
        <v>6.8131276219313211E-2</v>
      </c>
      <c r="AA7" s="61">
        <f t="shared" si="13"/>
        <v>7.0885702540011197E-2</v>
      </c>
      <c r="AB7" s="61">
        <f t="shared" si="13"/>
        <v>7.0885702540011197E-2</v>
      </c>
      <c r="AC7" s="61">
        <f t="shared" si="13"/>
        <v>7.0885702540011197E-2</v>
      </c>
      <c r="AD7" s="61">
        <f t="shared" si="13"/>
        <v>7.0885702540011197E-2</v>
      </c>
      <c r="AE7" s="61">
        <f t="shared" si="13"/>
        <v>6.9335739929052481E-2</v>
      </c>
      <c r="AF7" s="61">
        <f t="shared" si="13"/>
        <v>6.9335739929052481E-2</v>
      </c>
      <c r="AG7" s="61">
        <f t="shared" si="13"/>
        <v>7.053944616568722E-2</v>
      </c>
      <c r="AH7" s="61">
        <f t="shared" si="13"/>
        <v>7.053944616568722E-2</v>
      </c>
      <c r="AI7" s="61">
        <f t="shared" si="13"/>
        <v>8.76900876290619E-2</v>
      </c>
      <c r="AJ7" s="61">
        <f t="shared" si="13"/>
        <v>6.3737988633288417E-2</v>
      </c>
      <c r="AK7" s="61">
        <f t="shared" si="13"/>
        <v>6.9834329198805903E-2</v>
      </c>
      <c r="AL7" s="61">
        <f t="shared" si="13"/>
        <v>6.6415742029998004E-2</v>
      </c>
      <c r="AM7" s="61">
        <f t="shared" si="13"/>
        <v>7.2342313447551168E-2</v>
      </c>
      <c r="AN7" s="61">
        <f t="shared" si="13"/>
        <v>7.2342313447551168E-2</v>
      </c>
      <c r="AO7" s="61">
        <f t="shared" si="13"/>
        <v>6.8307984232890043E-2</v>
      </c>
      <c r="AP7" s="61">
        <f t="shared" si="13"/>
        <v>6.8307984232890043E-2</v>
      </c>
      <c r="AQ7" s="61">
        <f t="shared" si="13"/>
        <v>6.8307984232890043E-2</v>
      </c>
      <c r="AR7" s="61">
        <f t="shared" si="13"/>
        <v>8.7986416889986568E-2</v>
      </c>
      <c r="AS7" s="61">
        <f t="shared" si="13"/>
        <v>6.8171754894061465E-2</v>
      </c>
      <c r="AT7" s="61">
        <f t="shared" si="13"/>
        <v>6.8171754894061465E-2</v>
      </c>
      <c r="AU7" s="61">
        <f t="shared" si="13"/>
        <v>6.8171754894061465E-2</v>
      </c>
      <c r="AV7" s="61">
        <f t="shared" si="13"/>
        <v>6.9539286767134251E-2</v>
      </c>
      <c r="AW7" s="61">
        <f t="shared" si="13"/>
        <v>6.8563561453786656E-2</v>
      </c>
      <c r="AX7" s="61">
        <f t="shared" si="13"/>
        <v>6.8563561453786656E-2</v>
      </c>
      <c r="AY7" s="61">
        <f t="shared" si="13"/>
        <v>6.8563561453786656E-2</v>
      </c>
      <c r="AZ7" s="61">
        <f t="shared" si="13"/>
        <v>7.3311837778796463E-2</v>
      </c>
      <c r="BA7" s="61">
        <f t="shared" si="13"/>
        <v>7.3311837778796463E-2</v>
      </c>
      <c r="BB7" s="61">
        <f t="shared" si="13"/>
        <v>6.9544574775733031E-2</v>
      </c>
      <c r="BC7" s="61">
        <f t="shared" si="13"/>
        <v>6.8163308336224498E-2</v>
      </c>
      <c r="BD7" s="61">
        <f t="shared" si="13"/>
        <v>6.6892000473023794E-2</v>
      </c>
      <c r="BE7" s="61">
        <f t="shared" si="13"/>
        <v>7.0530171027822136E-2</v>
      </c>
      <c r="BF7" s="61">
        <f t="shared" si="13"/>
        <v>7.0530171027822136E-2</v>
      </c>
      <c r="BG7" s="61">
        <f t="shared" si="13"/>
        <v>7.4225986462340132E-2</v>
      </c>
      <c r="BH7" s="61">
        <f t="shared" si="13"/>
        <v>6.8976023299167549E-2</v>
      </c>
      <c r="BI7" s="61">
        <f t="shared" si="13"/>
        <v>6.8976023299167549E-2</v>
      </c>
      <c r="BJ7" s="61">
        <f t="shared" si="13"/>
        <v>7.1456914508388203E-2</v>
      </c>
      <c r="BK7" s="61">
        <f t="shared" si="13"/>
        <v>7.1456914508388203E-2</v>
      </c>
      <c r="BL7" s="61">
        <f t="shared" si="13"/>
        <v>6.937038216545148E-2</v>
      </c>
      <c r="BM7" s="61">
        <f t="shared" si="13"/>
        <v>7.0326716525863572E-2</v>
      </c>
      <c r="BN7" s="61">
        <f t="shared" si="13"/>
        <v>7.2507942868325861E-2</v>
      </c>
      <c r="BO7" s="61">
        <f t="shared" si="13"/>
        <v>7.2141563886032753E-2</v>
      </c>
      <c r="BP7" s="61">
        <f t="shared" si="13"/>
        <v>6.7178556483127025E-2</v>
      </c>
      <c r="BQ7" s="61">
        <f t="shared" ref="BQ7:CV7" si="14">((BQ22-BQ$30)/BQ$30*BQ$31+1)*$B$22/SUM($B$18:$B$29)</f>
        <v>6.7178556483127025E-2</v>
      </c>
      <c r="BR7" s="61">
        <f t="shared" si="14"/>
        <v>7.3913616317195258E-2</v>
      </c>
      <c r="BS7" s="61">
        <f t="shared" si="14"/>
        <v>7.4030974272714545E-2</v>
      </c>
      <c r="BT7" s="61">
        <f t="shared" si="14"/>
        <v>6.9276612860084866E-2</v>
      </c>
      <c r="BU7" s="61">
        <f t="shared" si="14"/>
        <v>6.9088157504810996E-2</v>
      </c>
      <c r="BV7" s="61">
        <f t="shared" si="14"/>
        <v>7.0215092824961453E-2</v>
      </c>
      <c r="BW7" s="61">
        <f t="shared" si="14"/>
        <v>7.0215092824961453E-2</v>
      </c>
      <c r="BX7" s="61">
        <f t="shared" si="14"/>
        <v>6.8180389045029363E-2</v>
      </c>
      <c r="BY7" s="61">
        <f t="shared" si="14"/>
        <v>7.205138528672185E-2</v>
      </c>
      <c r="BZ7" s="61">
        <f t="shared" si="14"/>
        <v>7.9776621967953987E-2</v>
      </c>
      <c r="CA7" s="61">
        <f t="shared" si="14"/>
        <v>7.1421158034631366E-2</v>
      </c>
      <c r="CB7" s="61">
        <f t="shared" si="14"/>
        <v>7.0859837944520832E-2</v>
      </c>
      <c r="CC7" s="61">
        <f t="shared" si="14"/>
        <v>7.2949728358060448E-2</v>
      </c>
      <c r="CD7" s="61">
        <f t="shared" si="14"/>
        <v>6.8810627103026989E-2</v>
      </c>
      <c r="CE7" s="61">
        <f t="shared" si="14"/>
        <v>7.1333133156637557E-2</v>
      </c>
      <c r="CF7" s="61">
        <f t="shared" si="14"/>
        <v>6.7698888594797432E-2</v>
      </c>
      <c r="CG7" s="61">
        <f t="shared" si="14"/>
        <v>7.0123580186660692E-2</v>
      </c>
      <c r="CH7" s="61">
        <f t="shared" si="14"/>
        <v>7.4100185841408858E-2</v>
      </c>
      <c r="CI7" s="61">
        <f t="shared" si="14"/>
        <v>7.3648532197926775E-2</v>
      </c>
      <c r="CJ7" s="61">
        <f t="shared" si="14"/>
        <v>7.2461939555760524E-2</v>
      </c>
      <c r="CK7" s="61">
        <f t="shared" si="14"/>
        <v>7.0738802427110878E-2</v>
      </c>
      <c r="CL7" s="61">
        <f t="shared" si="14"/>
        <v>6.9362465314633123E-2</v>
      </c>
      <c r="CM7" s="61">
        <f t="shared" si="14"/>
        <v>6.9362465314633123E-2</v>
      </c>
      <c r="CN7" s="61">
        <f t="shared" si="14"/>
        <v>7.3311837778796463E-2</v>
      </c>
      <c r="CO7" s="61">
        <f t="shared" si="14"/>
        <v>7.3311837778796463E-2</v>
      </c>
      <c r="CP7" s="61">
        <v>0.10327647467582698</v>
      </c>
      <c r="CQ7" s="61">
        <v>0.10808245637405089</v>
      </c>
      <c r="CR7" s="61" t="s">
        <v>47</v>
      </c>
      <c r="CS7" s="61">
        <f t="shared" si="14"/>
        <v>7.1969999447276334E-2</v>
      </c>
      <c r="CT7" s="61">
        <f t="shared" si="14"/>
        <v>7.3604930170254226E-2</v>
      </c>
      <c r="CU7" s="61">
        <f t="shared" si="14"/>
        <v>7.1504627098144216E-2</v>
      </c>
      <c r="CV7" s="61">
        <f t="shared" si="14"/>
        <v>7.3229671081717282E-2</v>
      </c>
      <c r="CW7" s="214">
        <v>0.11622</v>
      </c>
      <c r="CX7" s="214">
        <v>0.11405</v>
      </c>
      <c r="CY7" s="61">
        <f t="shared" ref="CY7" si="15">((CY22-CY$30)/CY$30*CY$31+1)*$B$22/SUM($B$18:$B$29)</f>
        <v>7.2226369536214891E-2</v>
      </c>
      <c r="CZ7" s="61">
        <f>((CZ22-CZ$30)/CZ$30*CZ$31+1)*$B$22/SUM($B$18:$B$29)</f>
        <v>6.6700415463898599E-2</v>
      </c>
      <c r="DA7" s="61">
        <v>6.8000000000000005E-2</v>
      </c>
      <c r="DB7" s="62">
        <v>6.9000000000000006E-2</v>
      </c>
      <c r="DC7" s="61">
        <v>6.8000000000000005E-2</v>
      </c>
      <c r="DD7" s="61">
        <v>6.5000000000000002E-2</v>
      </c>
    </row>
    <row r="8" spans="3:108" x14ac:dyDescent="0.35">
      <c r="C8" s="63" t="s">
        <v>269</v>
      </c>
      <c r="D8" s="61">
        <f>((D23-D$30)/D$30*D$31+1)*$B$23/SUM($B$18:$B$29)</f>
        <v>6.4358779141934941E-2</v>
      </c>
      <c r="E8" s="61">
        <f t="shared" ref="E8:BP8" si="16">((E23-E$30)/E$30*E$31+1)*$B$23/SUM($B$18:$B$29)</f>
        <v>6.4358779141934941E-2</v>
      </c>
      <c r="F8" s="61">
        <f t="shared" si="16"/>
        <v>4.7881770582165327E-2</v>
      </c>
      <c r="G8" s="61">
        <f t="shared" si="16"/>
        <v>4.8693657083664334E-2</v>
      </c>
      <c r="H8" s="61">
        <f t="shared" si="16"/>
        <v>5.0083322120742416E-2</v>
      </c>
      <c r="I8" s="61">
        <f t="shared" si="16"/>
        <v>5.0083322120742416E-2</v>
      </c>
      <c r="J8" s="61">
        <f t="shared" si="16"/>
        <v>5.0083322120742416E-2</v>
      </c>
      <c r="K8" s="61">
        <f t="shared" si="16"/>
        <v>5.0083322120742416E-2</v>
      </c>
      <c r="L8" s="61">
        <f t="shared" si="16"/>
        <v>6.2885148933913504E-2</v>
      </c>
      <c r="M8" s="61">
        <f t="shared" si="16"/>
        <v>6.2885148933913504E-2</v>
      </c>
      <c r="N8" s="61">
        <f t="shared" si="16"/>
        <v>6.1463246258682581E-2</v>
      </c>
      <c r="O8" s="61">
        <f t="shared" si="16"/>
        <v>5.5678900681327595E-2</v>
      </c>
      <c r="P8" s="61">
        <f t="shared" si="16"/>
        <v>6.5869855965432142E-2</v>
      </c>
      <c r="Q8" s="61">
        <f t="shared" si="16"/>
        <v>5.0157900871681045E-2</v>
      </c>
      <c r="R8" s="61">
        <f t="shared" si="16"/>
        <v>5.2532185991086666E-2</v>
      </c>
      <c r="S8" s="61">
        <f t="shared" si="16"/>
        <v>5.2532185991086666E-2</v>
      </c>
      <c r="T8" s="61">
        <f t="shared" si="16"/>
        <v>5.2532185991086666E-2</v>
      </c>
      <c r="U8" s="61">
        <f t="shared" si="16"/>
        <v>5.6473377950333081E-2</v>
      </c>
      <c r="V8" s="61">
        <f t="shared" si="16"/>
        <v>5.845261424388111E-2</v>
      </c>
      <c r="W8" s="61">
        <f t="shared" si="16"/>
        <v>5.845261424388111E-2</v>
      </c>
      <c r="X8" s="61">
        <f t="shared" si="16"/>
        <v>5.845261424388111E-2</v>
      </c>
      <c r="Y8" s="61">
        <f t="shared" si="16"/>
        <v>5.845261424388111E-2</v>
      </c>
      <c r="Z8" s="61">
        <f t="shared" si="16"/>
        <v>5.4208616461529094E-2</v>
      </c>
      <c r="AA8" s="61">
        <f t="shared" si="16"/>
        <v>5.6505658824720216E-2</v>
      </c>
      <c r="AB8" s="61">
        <f t="shared" si="16"/>
        <v>5.6505658824720216E-2</v>
      </c>
      <c r="AC8" s="61">
        <f t="shared" si="16"/>
        <v>5.6505658824720216E-2</v>
      </c>
      <c r="AD8" s="61">
        <f t="shared" si="16"/>
        <v>5.6505658824720216E-2</v>
      </c>
      <c r="AE8" s="61">
        <f t="shared" si="16"/>
        <v>5.5142418827408571E-2</v>
      </c>
      <c r="AF8" s="61">
        <f t="shared" si="16"/>
        <v>5.5142418827408571E-2</v>
      </c>
      <c r="AG8" s="61">
        <f t="shared" si="16"/>
        <v>5.52512282933358E-2</v>
      </c>
      <c r="AH8" s="61">
        <f t="shared" si="16"/>
        <v>5.52512282933358E-2</v>
      </c>
      <c r="AI8" s="61">
        <f t="shared" si="16"/>
        <v>6.2767848364419371E-2</v>
      </c>
      <c r="AJ8" s="61">
        <f t="shared" si="16"/>
        <v>4.5733858939999025E-2</v>
      </c>
      <c r="AK8" s="61">
        <f t="shared" si="16"/>
        <v>5.2389032682741123E-2</v>
      </c>
      <c r="AL8" s="61">
        <f t="shared" si="16"/>
        <v>4.9856634153449118E-2</v>
      </c>
      <c r="AM8" s="61">
        <f t="shared" si="16"/>
        <v>5.6208380133444549E-2</v>
      </c>
      <c r="AN8" s="61">
        <f t="shared" si="16"/>
        <v>5.6208380133444549E-2</v>
      </c>
      <c r="AO8" s="61">
        <f t="shared" si="16"/>
        <v>5.306427312573879E-2</v>
      </c>
      <c r="AP8" s="61">
        <f t="shared" si="16"/>
        <v>5.306427312573879E-2</v>
      </c>
      <c r="AQ8" s="61">
        <f t="shared" si="16"/>
        <v>5.306427312573879E-2</v>
      </c>
      <c r="AR8" s="61">
        <f t="shared" si="16"/>
        <v>5.279204099048674E-2</v>
      </c>
      <c r="AS8" s="61">
        <f t="shared" si="16"/>
        <v>5.2658495169771884E-2</v>
      </c>
      <c r="AT8" s="61">
        <f t="shared" si="16"/>
        <v>5.2658495169771884E-2</v>
      </c>
      <c r="AU8" s="61">
        <f t="shared" si="16"/>
        <v>5.2658495169771884E-2</v>
      </c>
      <c r="AV8" s="61">
        <f t="shared" si="16"/>
        <v>5.3911332350814266E-2</v>
      </c>
      <c r="AW8" s="61">
        <f t="shared" si="16"/>
        <v>5.2318584528196599E-2</v>
      </c>
      <c r="AX8" s="61">
        <f t="shared" si="16"/>
        <v>5.2318584528196599E-2</v>
      </c>
      <c r="AY8" s="61">
        <f t="shared" si="16"/>
        <v>5.2318584528196599E-2</v>
      </c>
      <c r="AZ8" s="61">
        <f t="shared" si="16"/>
        <v>5.9776501336542449E-2</v>
      </c>
      <c r="BA8" s="61">
        <f t="shared" si="16"/>
        <v>5.9776501336542449E-2</v>
      </c>
      <c r="BB8" s="61">
        <f t="shared" si="16"/>
        <v>5.3204623092983322E-2</v>
      </c>
      <c r="BC8" s="61">
        <f t="shared" si="16"/>
        <v>5.2810375741562152E-2</v>
      </c>
      <c r="BD8" s="61">
        <f t="shared" si="16"/>
        <v>5.5562561299392757E-2</v>
      </c>
      <c r="BE8" s="61">
        <f t="shared" si="16"/>
        <v>5.5021831741491896E-2</v>
      </c>
      <c r="BF8" s="61">
        <f t="shared" si="16"/>
        <v>5.5021831741491896E-2</v>
      </c>
      <c r="BG8" s="61">
        <f t="shared" si="16"/>
        <v>6.2178169918812365E-2</v>
      </c>
      <c r="BH8" s="61">
        <f t="shared" si="16"/>
        <v>5.5575769759074876E-2</v>
      </c>
      <c r="BI8" s="61">
        <f t="shared" si="16"/>
        <v>5.5575769759074876E-2</v>
      </c>
      <c r="BJ8" s="61">
        <f t="shared" si="16"/>
        <v>6.1065532278588713E-2</v>
      </c>
      <c r="BK8" s="61">
        <f t="shared" si="16"/>
        <v>6.1065532278588713E-2</v>
      </c>
      <c r="BL8" s="61">
        <f t="shared" si="16"/>
        <v>5.7740614120224382E-2</v>
      </c>
      <c r="BM8" s="61">
        <f t="shared" si="16"/>
        <v>5.7931409737582408E-2</v>
      </c>
      <c r="BN8" s="61">
        <f t="shared" si="16"/>
        <v>6.0343608772144543E-2</v>
      </c>
      <c r="BO8" s="61">
        <f t="shared" si="16"/>
        <v>6.1565028330564549E-2</v>
      </c>
      <c r="BP8" s="61">
        <f t="shared" si="16"/>
        <v>5.1355319385773091E-2</v>
      </c>
      <c r="BQ8" s="61">
        <f t="shared" ref="BQ8:CV8" si="17">((BQ23-BQ$30)/BQ$30*BQ$31+1)*$B$23/SUM($B$18:$B$29)</f>
        <v>5.1355319385773091E-2</v>
      </c>
      <c r="BR8" s="61">
        <f t="shared" si="17"/>
        <v>5.8017665331547043E-2</v>
      </c>
      <c r="BS8" s="61">
        <f t="shared" si="17"/>
        <v>5.8215935831388378E-2</v>
      </c>
      <c r="BT8" s="61">
        <f t="shared" si="17"/>
        <v>5.1817757894004744E-2</v>
      </c>
      <c r="BU8" s="61">
        <f t="shared" si="17"/>
        <v>5.1649442662505145E-2</v>
      </c>
      <c r="BV8" s="61">
        <f t="shared" si="17"/>
        <v>5.4945472217389858E-2</v>
      </c>
      <c r="BW8" s="61">
        <f t="shared" si="17"/>
        <v>5.4945472217389858E-2</v>
      </c>
      <c r="BX8" s="61">
        <f t="shared" si="17"/>
        <v>5.3802640995393045E-2</v>
      </c>
      <c r="BY8" s="61">
        <f t="shared" si="17"/>
        <v>5.7231379298274494E-2</v>
      </c>
      <c r="BZ8" s="61">
        <f t="shared" si="17"/>
        <v>7.093140025488949E-2</v>
      </c>
      <c r="CA8" s="61">
        <f t="shared" si="17"/>
        <v>5.8103599978202684E-2</v>
      </c>
      <c r="CB8" s="61">
        <f t="shared" si="17"/>
        <v>5.4796721296207752E-2</v>
      </c>
      <c r="CC8" s="61">
        <f t="shared" si="17"/>
        <v>6.0122438076824533E-2</v>
      </c>
      <c r="CD8" s="61">
        <f t="shared" si="17"/>
        <v>5.4033835369514546E-2</v>
      </c>
      <c r="CE8" s="61">
        <f t="shared" si="17"/>
        <v>5.821772022802281E-2</v>
      </c>
      <c r="CF8" s="61">
        <f t="shared" si="17"/>
        <v>5.6375269244658396E-2</v>
      </c>
      <c r="CG8" s="61">
        <f t="shared" si="17"/>
        <v>5.6176376033325807E-2</v>
      </c>
      <c r="CH8" s="61">
        <f t="shared" si="17"/>
        <v>6.0311375186494591E-2</v>
      </c>
      <c r="CI8" s="61">
        <f t="shared" si="17"/>
        <v>6.1718888572884843E-2</v>
      </c>
      <c r="CJ8" s="61">
        <f t="shared" si="17"/>
        <v>6.1477848829746988E-2</v>
      </c>
      <c r="CK8" s="61">
        <f t="shared" si="17"/>
        <v>5.932839053040069E-2</v>
      </c>
      <c r="CL8" s="61">
        <f t="shared" si="17"/>
        <v>5.5827516918330718E-2</v>
      </c>
      <c r="CM8" s="61">
        <f t="shared" si="17"/>
        <v>5.5827516918330718E-2</v>
      </c>
      <c r="CN8" s="61">
        <f t="shared" si="17"/>
        <v>5.9776501336542449E-2</v>
      </c>
      <c r="CO8" s="61">
        <f t="shared" si="17"/>
        <v>5.9776501336542449E-2</v>
      </c>
      <c r="CP8" s="61">
        <v>0.11119560514481257</v>
      </c>
      <c r="CQ8" s="61">
        <v>0.11356067670174505</v>
      </c>
      <c r="CR8" s="61" t="s">
        <v>47</v>
      </c>
      <c r="CS8" s="61">
        <f t="shared" si="17"/>
        <v>6.3213280320505258E-2</v>
      </c>
      <c r="CT8" s="61">
        <f t="shared" si="17"/>
        <v>6.1043012660415605E-2</v>
      </c>
      <c r="CU8" s="61">
        <f t="shared" si="17"/>
        <v>5.8882480823189205E-2</v>
      </c>
      <c r="CV8" s="61">
        <f t="shared" si="17"/>
        <v>5.9699034480917554E-2</v>
      </c>
      <c r="CW8" s="214">
        <v>0.12841</v>
      </c>
      <c r="CX8" s="214">
        <v>0.12177</v>
      </c>
      <c r="CY8" s="61">
        <f t="shared" ref="CY8" si="18">((CY23-CY$30)/CY$30*CY$31+1)*$B$23/SUM($B$18:$B$29)</f>
        <v>5.5942788196893155E-2</v>
      </c>
      <c r="CZ8" s="61">
        <f>((CZ23-CZ$30)/CZ$30*CZ$31+1)*$B$23/SUM($B$18:$B$29)</f>
        <v>6.8507742928943988E-2</v>
      </c>
      <c r="DA8" s="61">
        <v>5.3999999999999999E-2</v>
      </c>
      <c r="DB8" s="62">
        <v>5.3999999999999999E-2</v>
      </c>
      <c r="DC8" s="61">
        <v>5.3999999999999999E-2</v>
      </c>
      <c r="DD8" s="61">
        <v>4.5999999999999999E-2</v>
      </c>
    </row>
    <row r="9" spans="3:108" x14ac:dyDescent="0.35">
      <c r="C9" s="63" t="s">
        <v>270</v>
      </c>
      <c r="D9" s="61">
        <f>((D24-D$30)/D$30*D$31+1)*$B$24/SUM($B$18:$B$29)</f>
        <v>5.7309685389642442E-2</v>
      </c>
      <c r="E9" s="61">
        <f t="shared" ref="E9:BP9" si="19">((E24-E$30)/E$30*E$31+1)*$B$24/SUM($B$18:$B$29)</f>
        <v>5.7309685389642442E-2</v>
      </c>
      <c r="F9" s="61">
        <f t="shared" si="19"/>
        <v>4.9651987735968448E-2</v>
      </c>
      <c r="G9" s="61">
        <f t="shared" si="19"/>
        <v>5.1091354837016392E-2</v>
      </c>
      <c r="H9" s="61">
        <f t="shared" si="19"/>
        <v>4.2290223351820568E-2</v>
      </c>
      <c r="I9" s="61">
        <f t="shared" si="19"/>
        <v>4.2290223351820568E-2</v>
      </c>
      <c r="J9" s="61">
        <f t="shared" si="19"/>
        <v>4.2290223351820568E-2</v>
      </c>
      <c r="K9" s="61">
        <f t="shared" si="19"/>
        <v>4.2290223351820568E-2</v>
      </c>
      <c r="L9" s="61">
        <f t="shared" si="19"/>
        <v>6.3251161758124175E-2</v>
      </c>
      <c r="M9" s="61">
        <f t="shared" si="19"/>
        <v>6.3251161758124175E-2</v>
      </c>
      <c r="N9" s="61">
        <f t="shared" si="19"/>
        <v>6.1654066506086555E-2</v>
      </c>
      <c r="O9" s="61">
        <f t="shared" si="19"/>
        <v>5.3741412041530753E-2</v>
      </c>
      <c r="P9" s="61">
        <f t="shared" si="19"/>
        <v>6.3918923275991954E-2</v>
      </c>
      <c r="Q9" s="61">
        <f t="shared" si="19"/>
        <v>5.1932330984717508E-2</v>
      </c>
      <c r="R9" s="61">
        <f t="shared" si="19"/>
        <v>5.1365195611512732E-2</v>
      </c>
      <c r="S9" s="61">
        <f t="shared" si="19"/>
        <v>5.1365195611512732E-2</v>
      </c>
      <c r="T9" s="61">
        <f t="shared" si="19"/>
        <v>5.1365195611512732E-2</v>
      </c>
      <c r="U9" s="61">
        <f t="shared" si="19"/>
        <v>5.6094959557979759E-2</v>
      </c>
      <c r="V9" s="61">
        <f t="shared" si="19"/>
        <v>5.9685837627625957E-2</v>
      </c>
      <c r="W9" s="61">
        <f t="shared" si="19"/>
        <v>5.9685837627625957E-2</v>
      </c>
      <c r="X9" s="61">
        <f t="shared" si="19"/>
        <v>5.9685837627625957E-2</v>
      </c>
      <c r="Y9" s="61">
        <f t="shared" si="19"/>
        <v>5.9685837627625957E-2</v>
      </c>
      <c r="Z9" s="61">
        <f t="shared" si="19"/>
        <v>5.6617592995790403E-2</v>
      </c>
      <c r="AA9" s="61">
        <f t="shared" si="19"/>
        <v>5.5805765230534217E-2</v>
      </c>
      <c r="AB9" s="61">
        <f t="shared" si="19"/>
        <v>5.5805765230534217E-2</v>
      </c>
      <c r="AC9" s="61">
        <f t="shared" si="19"/>
        <v>5.5805765230534217E-2</v>
      </c>
      <c r="AD9" s="61">
        <f t="shared" si="19"/>
        <v>5.5805765230534217E-2</v>
      </c>
      <c r="AE9" s="61">
        <f t="shared" si="19"/>
        <v>5.5502094611938502E-2</v>
      </c>
      <c r="AF9" s="61">
        <f t="shared" si="19"/>
        <v>5.5502094611938502E-2</v>
      </c>
      <c r="AG9" s="61">
        <f t="shared" si="19"/>
        <v>5.4209501642986421E-2</v>
      </c>
      <c r="AH9" s="61">
        <f t="shared" si="19"/>
        <v>5.4209501642986421E-2</v>
      </c>
      <c r="AI9" s="61">
        <f t="shared" si="19"/>
        <v>5.4725432766013889E-2</v>
      </c>
      <c r="AJ9" s="61">
        <f t="shared" si="19"/>
        <v>4.2226792850300558E-2</v>
      </c>
      <c r="AK9" s="61">
        <f t="shared" si="19"/>
        <v>4.7148257595318536E-2</v>
      </c>
      <c r="AL9" s="61">
        <f t="shared" si="19"/>
        <v>4.8978871135575371E-2</v>
      </c>
      <c r="AM9" s="61">
        <f t="shared" si="19"/>
        <v>5.3277876255321203E-2</v>
      </c>
      <c r="AN9" s="61">
        <f t="shared" si="19"/>
        <v>5.3277876255321203E-2</v>
      </c>
      <c r="AO9" s="61">
        <f t="shared" si="19"/>
        <v>5.1528455100240123E-2</v>
      </c>
      <c r="AP9" s="61">
        <f t="shared" si="19"/>
        <v>5.1528455100240123E-2</v>
      </c>
      <c r="AQ9" s="61">
        <f t="shared" si="19"/>
        <v>5.1528455100240123E-2</v>
      </c>
      <c r="AR9" s="61">
        <f t="shared" si="19"/>
        <v>4.8534154317199832E-2</v>
      </c>
      <c r="AS9" s="61">
        <f t="shared" si="19"/>
        <v>5.063891402738642E-2</v>
      </c>
      <c r="AT9" s="61">
        <f t="shared" si="19"/>
        <v>5.063891402738642E-2</v>
      </c>
      <c r="AU9" s="61">
        <f t="shared" si="19"/>
        <v>5.063891402738642E-2</v>
      </c>
      <c r="AV9" s="61">
        <f t="shared" si="19"/>
        <v>5.45312780387101E-2</v>
      </c>
      <c r="AW9" s="61">
        <f t="shared" si="19"/>
        <v>4.8679109940908002E-2</v>
      </c>
      <c r="AX9" s="61">
        <f t="shared" si="19"/>
        <v>4.8679109940908002E-2</v>
      </c>
      <c r="AY9" s="61">
        <f t="shared" si="19"/>
        <v>4.8679109940908002E-2</v>
      </c>
      <c r="AZ9" s="61">
        <f t="shared" si="19"/>
        <v>5.8723038303922351E-2</v>
      </c>
      <c r="BA9" s="61">
        <f t="shared" si="19"/>
        <v>5.8723038303922351E-2</v>
      </c>
      <c r="BB9" s="61">
        <f t="shared" si="19"/>
        <v>5.2787219565539174E-2</v>
      </c>
      <c r="BC9" s="61">
        <f t="shared" si="19"/>
        <v>5.1237233097612557E-2</v>
      </c>
      <c r="BD9" s="61">
        <f t="shared" si="19"/>
        <v>6.0379357350993333E-2</v>
      </c>
      <c r="BE9" s="61">
        <f t="shared" si="19"/>
        <v>5.4491167993147238E-2</v>
      </c>
      <c r="BF9" s="61">
        <f t="shared" si="19"/>
        <v>5.4491167993147238E-2</v>
      </c>
      <c r="BG9" s="61">
        <f t="shared" si="19"/>
        <v>6.1403868052984749E-2</v>
      </c>
      <c r="BH9" s="61">
        <f t="shared" si="19"/>
        <v>5.3647636178124625E-2</v>
      </c>
      <c r="BI9" s="61">
        <f t="shared" si="19"/>
        <v>5.3647636178124625E-2</v>
      </c>
      <c r="BJ9" s="61">
        <f t="shared" si="19"/>
        <v>6.0954203226013505E-2</v>
      </c>
      <c r="BK9" s="61">
        <f t="shared" si="19"/>
        <v>6.0954203226013505E-2</v>
      </c>
      <c r="BL9" s="61">
        <f t="shared" si="19"/>
        <v>5.6679122516677082E-2</v>
      </c>
      <c r="BM9" s="61">
        <f t="shared" si="19"/>
        <v>5.6415118805047751E-2</v>
      </c>
      <c r="BN9" s="61">
        <f t="shared" si="19"/>
        <v>5.8900749042421603E-2</v>
      </c>
      <c r="BO9" s="61">
        <f t="shared" si="19"/>
        <v>5.6219612265653168E-2</v>
      </c>
      <c r="BP9" s="61">
        <f t="shared" si="19"/>
        <v>5.0767318611689059E-2</v>
      </c>
      <c r="BQ9" s="61">
        <f t="shared" ref="BQ9:CV9" si="20">((BQ24-BQ$30)/BQ$30*BQ$31+1)*$B$24/SUM($B$18:$B$29)</f>
        <v>5.0767318611689059E-2</v>
      </c>
      <c r="BR9" s="61">
        <f t="shared" si="20"/>
        <v>5.8038980823247474E-2</v>
      </c>
      <c r="BS9" s="61">
        <f t="shared" si="20"/>
        <v>5.818612280134957E-2</v>
      </c>
      <c r="BT9" s="61">
        <f t="shared" si="20"/>
        <v>5.2692565455664926E-2</v>
      </c>
      <c r="BU9" s="61">
        <f t="shared" si="20"/>
        <v>5.1296230453756204E-2</v>
      </c>
      <c r="BV9" s="61">
        <f t="shared" si="20"/>
        <v>5.4576734872352879E-2</v>
      </c>
      <c r="BW9" s="61">
        <f t="shared" si="20"/>
        <v>5.4576734872352879E-2</v>
      </c>
      <c r="BX9" s="61">
        <f t="shared" si="20"/>
        <v>5.4642302865922081E-2</v>
      </c>
      <c r="BY9" s="61">
        <f t="shared" si="20"/>
        <v>5.6744069788816874E-2</v>
      </c>
      <c r="BZ9" s="61">
        <f t="shared" si="20"/>
        <v>7.5053296657844992E-2</v>
      </c>
      <c r="CA9" s="61">
        <f t="shared" si="20"/>
        <v>5.6583610287218665E-2</v>
      </c>
      <c r="CB9" s="61">
        <f t="shared" si="20"/>
        <v>5.5047921704150189E-2</v>
      </c>
      <c r="CC9" s="61">
        <f t="shared" si="20"/>
        <v>5.8323770233724696E-2</v>
      </c>
      <c r="CD9" s="61">
        <f t="shared" si="20"/>
        <v>5.7167166899750439E-2</v>
      </c>
      <c r="CE9" s="61">
        <f t="shared" si="20"/>
        <v>6.0987782244880967E-2</v>
      </c>
      <c r="CF9" s="61">
        <f t="shared" si="20"/>
        <v>5.9713558380460968E-2</v>
      </c>
      <c r="CG9" s="61">
        <f t="shared" si="20"/>
        <v>5.890243205018638E-2</v>
      </c>
      <c r="CH9" s="61">
        <f t="shared" si="20"/>
        <v>5.9994279874904521E-2</v>
      </c>
      <c r="CI9" s="61">
        <f t="shared" si="20"/>
        <v>6.1291753077901953E-2</v>
      </c>
      <c r="CJ9" s="61">
        <f t="shared" si="20"/>
        <v>6.0402905182479184E-2</v>
      </c>
      <c r="CK9" s="61">
        <f t="shared" si="20"/>
        <v>5.8377812426865162E-2</v>
      </c>
      <c r="CL9" s="61">
        <f t="shared" si="20"/>
        <v>5.3478551228570752E-2</v>
      </c>
      <c r="CM9" s="61">
        <f t="shared" si="20"/>
        <v>5.3478551228570752E-2</v>
      </c>
      <c r="CN9" s="61">
        <f t="shared" si="20"/>
        <v>5.8723038303922351E-2</v>
      </c>
      <c r="CO9" s="61">
        <f t="shared" si="20"/>
        <v>5.8723038303922351E-2</v>
      </c>
      <c r="CP9" s="61">
        <v>0.11902295761167415</v>
      </c>
      <c r="CQ9" s="61">
        <v>0.1196383375516185</v>
      </c>
      <c r="CR9" s="61" t="s">
        <v>47</v>
      </c>
      <c r="CS9" s="61">
        <f t="shared" si="20"/>
        <v>6.3619722200902104E-2</v>
      </c>
      <c r="CT9" s="61">
        <f t="shared" si="20"/>
        <v>5.9601833855317525E-2</v>
      </c>
      <c r="CU9" s="61">
        <f t="shared" si="20"/>
        <v>5.714507171490129E-2</v>
      </c>
      <c r="CV9" s="61">
        <f t="shared" si="20"/>
        <v>6.223965050934268E-2</v>
      </c>
      <c r="CW9" s="214">
        <v>0.14144000000000001</v>
      </c>
      <c r="CX9" s="214">
        <v>0.12997</v>
      </c>
      <c r="CY9" s="61">
        <f t="shared" ref="CY9" si="21">((CY24-CY$30)/CY$30*CY$31+1)*$B$24/SUM($B$18:$B$29)</f>
        <v>5.7113858785385385E-2</v>
      </c>
      <c r="CZ9" s="61">
        <f>((CZ24-CZ$30)/CZ$30*CZ$31+1)*$B$24/SUM($B$18:$B$29)</f>
        <v>6.7119996889130409E-2</v>
      </c>
      <c r="DA9" s="61">
        <v>5.8000000000000003E-2</v>
      </c>
      <c r="DB9" s="62">
        <v>5.8000000000000003E-2</v>
      </c>
      <c r="DC9" s="61">
        <v>5.8000000000000003E-2</v>
      </c>
      <c r="DD9" s="61">
        <v>4.9000000000000002E-2</v>
      </c>
    </row>
    <row r="10" spans="3:108" x14ac:dyDescent="0.35">
      <c r="C10" s="63" t="s">
        <v>271</v>
      </c>
      <c r="D10" s="61">
        <f>((D25-D$30)/D$30*D$31+1)*$B$25/SUM($B$18:$B$29)</f>
        <v>5.65948403351643E-2</v>
      </c>
      <c r="E10" s="61">
        <f t="shared" ref="E10:BP10" si="22">((E25-E$30)/E$30*E$31+1)*$B$25/SUM($B$18:$B$29)</f>
        <v>5.65948403351643E-2</v>
      </c>
      <c r="F10" s="61">
        <f t="shared" si="22"/>
        <v>5.008738307196247E-2</v>
      </c>
      <c r="G10" s="61">
        <f t="shared" si="22"/>
        <v>5.1284998799657221E-2</v>
      </c>
      <c r="H10" s="61">
        <f t="shared" si="22"/>
        <v>3.8554203201552548E-2</v>
      </c>
      <c r="I10" s="61">
        <f t="shared" si="22"/>
        <v>3.8554203201552548E-2</v>
      </c>
      <c r="J10" s="61">
        <f t="shared" si="22"/>
        <v>3.8554203201552548E-2</v>
      </c>
      <c r="K10" s="61">
        <f t="shared" si="22"/>
        <v>3.8554203201552548E-2</v>
      </c>
      <c r="L10" s="61">
        <f t="shared" si="22"/>
        <v>5.641703447079105E-2</v>
      </c>
      <c r="M10" s="61">
        <f t="shared" si="22"/>
        <v>5.641703447079105E-2</v>
      </c>
      <c r="N10" s="61">
        <f t="shared" si="22"/>
        <v>5.431514572593904E-2</v>
      </c>
      <c r="O10" s="61">
        <f t="shared" si="22"/>
        <v>5.076816588262828E-2</v>
      </c>
      <c r="P10" s="61">
        <f t="shared" si="22"/>
        <v>5.9044855992097904E-2</v>
      </c>
      <c r="Q10" s="61">
        <f t="shared" si="22"/>
        <v>5.2444831404619613E-2</v>
      </c>
      <c r="R10" s="61">
        <f t="shared" si="22"/>
        <v>5.1224904109303915E-2</v>
      </c>
      <c r="S10" s="61">
        <f t="shared" si="22"/>
        <v>5.1224904109303915E-2</v>
      </c>
      <c r="T10" s="61">
        <f t="shared" si="22"/>
        <v>5.1224904109303915E-2</v>
      </c>
      <c r="U10" s="61">
        <f t="shared" si="22"/>
        <v>5.1573230909917563E-2</v>
      </c>
      <c r="V10" s="61">
        <f t="shared" si="22"/>
        <v>5.9261189354814302E-2</v>
      </c>
      <c r="W10" s="61">
        <f t="shared" si="22"/>
        <v>5.9261189354814302E-2</v>
      </c>
      <c r="X10" s="61">
        <f t="shared" si="22"/>
        <v>5.9261189354814302E-2</v>
      </c>
      <c r="Y10" s="61">
        <f t="shared" si="22"/>
        <v>5.9261189354814302E-2</v>
      </c>
      <c r="Z10" s="61">
        <f t="shared" si="22"/>
        <v>5.5890148957702918E-2</v>
      </c>
      <c r="AA10" s="61">
        <f t="shared" si="22"/>
        <v>5.063893412051422E-2</v>
      </c>
      <c r="AB10" s="61">
        <f t="shared" si="22"/>
        <v>5.063893412051422E-2</v>
      </c>
      <c r="AC10" s="61">
        <f t="shared" si="22"/>
        <v>5.063893412051422E-2</v>
      </c>
      <c r="AD10" s="61">
        <f t="shared" si="22"/>
        <v>5.063893412051422E-2</v>
      </c>
      <c r="AE10" s="61">
        <f t="shared" si="22"/>
        <v>5.5026893055243761E-2</v>
      </c>
      <c r="AF10" s="61">
        <f t="shared" si="22"/>
        <v>5.5026893055243761E-2</v>
      </c>
      <c r="AG10" s="61">
        <f t="shared" si="22"/>
        <v>5.332448716710577E-2</v>
      </c>
      <c r="AH10" s="61">
        <f t="shared" si="22"/>
        <v>5.332448716710577E-2</v>
      </c>
      <c r="AI10" s="61">
        <f t="shared" si="22"/>
        <v>5.3782045259712433E-2</v>
      </c>
      <c r="AJ10" s="61">
        <f t="shared" si="22"/>
        <v>3.9032620546124976E-2</v>
      </c>
      <c r="AK10" s="61">
        <f t="shared" si="22"/>
        <v>4.3201582767392263E-2</v>
      </c>
      <c r="AL10" s="61">
        <f t="shared" si="22"/>
        <v>4.5200366252592127E-2</v>
      </c>
      <c r="AM10" s="61">
        <f t="shared" si="22"/>
        <v>4.8048078492859414E-2</v>
      </c>
      <c r="AN10" s="61">
        <f t="shared" si="22"/>
        <v>4.8048078492859414E-2</v>
      </c>
      <c r="AO10" s="61">
        <f t="shared" si="22"/>
        <v>4.8736614938950311E-2</v>
      </c>
      <c r="AP10" s="61">
        <f t="shared" si="22"/>
        <v>4.8736614938950311E-2</v>
      </c>
      <c r="AQ10" s="61">
        <f t="shared" si="22"/>
        <v>4.8736614938950311E-2</v>
      </c>
      <c r="AR10" s="61">
        <f t="shared" si="22"/>
        <v>4.1963894246712381E-2</v>
      </c>
      <c r="AS10" s="61">
        <f t="shared" si="22"/>
        <v>4.5959330166174248E-2</v>
      </c>
      <c r="AT10" s="61">
        <f t="shared" si="22"/>
        <v>4.5959330166174248E-2</v>
      </c>
      <c r="AU10" s="61">
        <f t="shared" si="22"/>
        <v>4.5959330166174248E-2</v>
      </c>
      <c r="AV10" s="61">
        <f t="shared" si="22"/>
        <v>5.0646852250176795E-2</v>
      </c>
      <c r="AW10" s="61">
        <f t="shared" si="22"/>
        <v>4.4415933325470815E-2</v>
      </c>
      <c r="AX10" s="61">
        <f t="shared" si="22"/>
        <v>4.4415933325470815E-2</v>
      </c>
      <c r="AY10" s="61">
        <f t="shared" si="22"/>
        <v>4.4415933325470815E-2</v>
      </c>
      <c r="AZ10" s="61">
        <f t="shared" si="22"/>
        <v>5.2150062716341691E-2</v>
      </c>
      <c r="BA10" s="61">
        <f t="shared" si="22"/>
        <v>5.2150062716341691E-2</v>
      </c>
      <c r="BB10" s="61">
        <f t="shared" si="22"/>
        <v>4.8938357061431043E-2</v>
      </c>
      <c r="BC10" s="61">
        <f t="shared" si="22"/>
        <v>4.8421010052818042E-2</v>
      </c>
      <c r="BD10" s="61">
        <f t="shared" si="22"/>
        <v>5.483875051583309E-2</v>
      </c>
      <c r="BE10" s="61">
        <f t="shared" si="22"/>
        <v>4.9581793666828487E-2</v>
      </c>
      <c r="BF10" s="61">
        <f t="shared" si="22"/>
        <v>4.9581793666828487E-2</v>
      </c>
      <c r="BG10" s="61">
        <f t="shared" si="22"/>
        <v>6.074179653442939E-2</v>
      </c>
      <c r="BH10" s="61">
        <f t="shared" si="22"/>
        <v>5.3647636178124625E-2</v>
      </c>
      <c r="BI10" s="61">
        <f t="shared" si="22"/>
        <v>5.3647636178124625E-2</v>
      </c>
      <c r="BJ10" s="61">
        <f t="shared" si="22"/>
        <v>6.0449062803614707E-2</v>
      </c>
      <c r="BK10" s="61">
        <f t="shared" si="22"/>
        <v>6.0449062803614707E-2</v>
      </c>
      <c r="BL10" s="61">
        <f t="shared" si="22"/>
        <v>5.6882725612646748E-2</v>
      </c>
      <c r="BM10" s="61">
        <f t="shared" si="22"/>
        <v>5.5999482317782609E-2</v>
      </c>
      <c r="BN10" s="61">
        <f t="shared" si="22"/>
        <v>5.8387270030123312E-2</v>
      </c>
      <c r="BO10" s="61">
        <f t="shared" si="22"/>
        <v>5.3378156284170038E-2</v>
      </c>
      <c r="BP10" s="61">
        <f t="shared" si="22"/>
        <v>4.7757645230421863E-2</v>
      </c>
      <c r="BQ10" s="61">
        <f t="shared" ref="BQ10:CV10" si="23">((BQ25-BQ$30)/BQ$30*BQ$31+1)*$B$25/SUM($B$18:$B$29)</f>
        <v>4.7757645230421863E-2</v>
      </c>
      <c r="BR10" s="61">
        <f t="shared" si="23"/>
        <v>5.4131798593239695E-2</v>
      </c>
      <c r="BS10" s="61">
        <f t="shared" si="23"/>
        <v>5.4135970784489416E-2</v>
      </c>
      <c r="BT10" s="61">
        <f t="shared" si="23"/>
        <v>5.2537574358427347E-2</v>
      </c>
      <c r="BU10" s="61">
        <f t="shared" si="23"/>
        <v>5.2178046080193323E-2</v>
      </c>
      <c r="BV10" s="61">
        <f t="shared" si="23"/>
        <v>5.5452104379533677E-2</v>
      </c>
      <c r="BW10" s="61">
        <f t="shared" si="23"/>
        <v>5.5452104379533677E-2</v>
      </c>
      <c r="BX10" s="61">
        <f t="shared" si="23"/>
        <v>5.4615809546589185E-2</v>
      </c>
      <c r="BY10" s="61">
        <f t="shared" si="23"/>
        <v>5.5312263067074062E-2</v>
      </c>
      <c r="BZ10" s="61">
        <f t="shared" si="23"/>
        <v>6.5496801262973262E-2</v>
      </c>
      <c r="CA10" s="61">
        <f t="shared" si="23"/>
        <v>5.2249344547383045E-2</v>
      </c>
      <c r="CB10" s="61">
        <f t="shared" si="23"/>
        <v>5.0788623233496852E-2</v>
      </c>
      <c r="CC10" s="61">
        <f t="shared" si="23"/>
        <v>5.3962575447559134E-2</v>
      </c>
      <c r="CD10" s="61">
        <f t="shared" si="23"/>
        <v>5.3730081393520049E-2</v>
      </c>
      <c r="CE10" s="61">
        <f t="shared" si="23"/>
        <v>5.8176796028323492E-2</v>
      </c>
      <c r="CF10" s="61">
        <f t="shared" si="23"/>
        <v>5.4168927102067894E-2</v>
      </c>
      <c r="CG10" s="61">
        <f t="shared" si="23"/>
        <v>5.5864940049037873E-2</v>
      </c>
      <c r="CH10" s="61">
        <f t="shared" si="23"/>
        <v>5.8466140061866567E-2</v>
      </c>
      <c r="CI10" s="61">
        <f t="shared" si="23"/>
        <v>6.0855887853209716E-2</v>
      </c>
      <c r="CJ10" s="61">
        <f t="shared" si="23"/>
        <v>6.0502402165757092E-2</v>
      </c>
      <c r="CK10" s="61">
        <f t="shared" si="23"/>
        <v>5.815428638707771E-2</v>
      </c>
      <c r="CL10" s="61">
        <f t="shared" si="23"/>
        <v>5.3581861238886593E-2</v>
      </c>
      <c r="CM10" s="61">
        <f t="shared" si="23"/>
        <v>5.3581861238886593E-2</v>
      </c>
      <c r="CN10" s="61">
        <f t="shared" si="23"/>
        <v>5.2150062716341691E-2</v>
      </c>
      <c r="CO10" s="61">
        <f t="shared" si="23"/>
        <v>5.2150062716341691E-2</v>
      </c>
      <c r="CP10" s="61">
        <v>0.11001560226036108</v>
      </c>
      <c r="CQ10" s="61">
        <v>0.11346076994804849</v>
      </c>
      <c r="CR10" s="61" t="s">
        <v>47</v>
      </c>
      <c r="CS10" s="61">
        <f t="shared" si="23"/>
        <v>5.6902085719603056E-2</v>
      </c>
      <c r="CT10" s="61">
        <f t="shared" si="23"/>
        <v>5.9229411080984118E-2</v>
      </c>
      <c r="CU10" s="61">
        <f t="shared" si="23"/>
        <v>5.6630480139733888E-2</v>
      </c>
      <c r="CV10" s="61">
        <f t="shared" si="23"/>
        <v>6.4878173193733249E-2</v>
      </c>
      <c r="CW10" s="214">
        <v>0.12612000000000001</v>
      </c>
      <c r="CX10" s="214">
        <v>0.11624</v>
      </c>
      <c r="CY10" s="61">
        <f t="shared" ref="CY10" si="24">((CY25-CY$30)/CY$30*CY$31+1)*$B$25/SUM($B$18:$B$29)</f>
        <v>5.6667915845196967E-2</v>
      </c>
      <c r="CZ10" s="61">
        <f>((CZ25-CZ$30)/CZ$30*CZ$31+1)*$B$25/SUM($B$18:$B$29)</f>
        <v>5.29591237875566E-2</v>
      </c>
      <c r="DA10" s="61">
        <v>5.2999999999999999E-2</v>
      </c>
      <c r="DB10" s="62">
        <v>5.3999999999999999E-2</v>
      </c>
      <c r="DC10" s="61">
        <v>5.2999999999999999E-2</v>
      </c>
      <c r="DD10" s="61">
        <v>4.8000000000000001E-2</v>
      </c>
    </row>
    <row r="11" spans="3:108" x14ac:dyDescent="0.35">
      <c r="C11" s="63" t="s">
        <v>272</v>
      </c>
      <c r="D11" s="61">
        <f>((D26-D$30)/D$30*D$31+1)*$B$26/SUM($B$18:$B$29)</f>
        <v>6.9201277898077312E-2</v>
      </c>
      <c r="E11" s="61">
        <f t="shared" ref="E11:BP11" si="25">((E26-E$30)/E$30*E$31+1)*$B$26/SUM($B$18:$B$29)</f>
        <v>6.9201277898077312E-2</v>
      </c>
      <c r="F11" s="61">
        <f t="shared" si="25"/>
        <v>6.1926781420682184E-2</v>
      </c>
      <c r="G11" s="61">
        <f t="shared" si="25"/>
        <v>6.2507521331036736E-2</v>
      </c>
      <c r="H11" s="61">
        <f t="shared" si="25"/>
        <v>6.0040774028384279E-2</v>
      </c>
      <c r="I11" s="61">
        <f t="shared" si="25"/>
        <v>6.0040774028384279E-2</v>
      </c>
      <c r="J11" s="61">
        <f t="shared" si="25"/>
        <v>6.0040774028384279E-2</v>
      </c>
      <c r="K11" s="61">
        <f t="shared" si="25"/>
        <v>6.0040774028384279E-2</v>
      </c>
      <c r="L11" s="61">
        <f t="shared" si="25"/>
        <v>6.7489603823296787E-2</v>
      </c>
      <c r="M11" s="61">
        <f t="shared" si="25"/>
        <v>6.7489603823296787E-2</v>
      </c>
      <c r="N11" s="61">
        <f t="shared" si="25"/>
        <v>6.6407802929668039E-2</v>
      </c>
      <c r="O11" s="61">
        <f t="shared" si="25"/>
        <v>6.4330749348389768E-2</v>
      </c>
      <c r="P11" s="61">
        <f t="shared" si="25"/>
        <v>7.0070424303501647E-2</v>
      </c>
      <c r="Q11" s="61">
        <f t="shared" si="25"/>
        <v>6.3573839282989542E-2</v>
      </c>
      <c r="R11" s="61">
        <f t="shared" si="25"/>
        <v>6.4642510504338502E-2</v>
      </c>
      <c r="S11" s="61">
        <f t="shared" si="25"/>
        <v>6.4642510504338502E-2</v>
      </c>
      <c r="T11" s="61">
        <f t="shared" si="25"/>
        <v>6.4642510504338502E-2</v>
      </c>
      <c r="U11" s="61">
        <f t="shared" si="25"/>
        <v>6.6232711641078551E-2</v>
      </c>
      <c r="V11" s="61">
        <f t="shared" si="25"/>
        <v>6.7363739289639832E-2</v>
      </c>
      <c r="W11" s="61">
        <f t="shared" si="25"/>
        <v>6.7363739289639832E-2</v>
      </c>
      <c r="X11" s="61">
        <f t="shared" si="25"/>
        <v>6.7363739289639832E-2</v>
      </c>
      <c r="Y11" s="61">
        <f t="shared" si="25"/>
        <v>6.7363739289639832E-2</v>
      </c>
      <c r="Z11" s="61">
        <f t="shared" si="25"/>
        <v>6.6200519291848031E-2</v>
      </c>
      <c r="AA11" s="61">
        <f t="shared" si="25"/>
        <v>6.4790806234823542E-2</v>
      </c>
      <c r="AB11" s="61">
        <f t="shared" si="25"/>
        <v>6.4790806234823542E-2</v>
      </c>
      <c r="AC11" s="61">
        <f t="shared" si="25"/>
        <v>6.4790806234823542E-2</v>
      </c>
      <c r="AD11" s="61">
        <f t="shared" si="25"/>
        <v>6.4790806234823542E-2</v>
      </c>
      <c r="AE11" s="61">
        <f t="shared" si="25"/>
        <v>6.5949421971595729E-2</v>
      </c>
      <c r="AF11" s="61">
        <f t="shared" si="25"/>
        <v>6.5949421971595729E-2</v>
      </c>
      <c r="AG11" s="61">
        <f t="shared" si="25"/>
        <v>6.6965467765970246E-2</v>
      </c>
      <c r="AH11" s="61">
        <f t="shared" si="25"/>
        <v>6.6965467765970246E-2</v>
      </c>
      <c r="AI11" s="61">
        <f t="shared" si="25"/>
        <v>6.7932568905830104E-2</v>
      </c>
      <c r="AJ11" s="61">
        <f t="shared" si="25"/>
        <v>6.0314165860857652E-2</v>
      </c>
      <c r="AK11" s="61">
        <f t="shared" si="25"/>
        <v>6.2319375798168521E-2</v>
      </c>
      <c r="AL11" s="61">
        <f t="shared" si="25"/>
        <v>6.6790969892890156E-2</v>
      </c>
      <c r="AM11" s="61">
        <f t="shared" si="25"/>
        <v>6.4182546639223723E-2</v>
      </c>
      <c r="AN11" s="61">
        <f t="shared" si="25"/>
        <v>6.4182546639223723E-2</v>
      </c>
      <c r="AO11" s="61">
        <f t="shared" si="25"/>
        <v>6.7372683695614458E-2</v>
      </c>
      <c r="AP11" s="61">
        <f t="shared" si="25"/>
        <v>6.7372683695614458E-2</v>
      </c>
      <c r="AQ11" s="61">
        <f t="shared" si="25"/>
        <v>6.7372683695614458E-2</v>
      </c>
      <c r="AR11" s="61">
        <f t="shared" si="25"/>
        <v>6.24780740760109E-2</v>
      </c>
      <c r="AS11" s="61">
        <f t="shared" si="25"/>
        <v>6.745201834392657E-2</v>
      </c>
      <c r="AT11" s="61">
        <f t="shared" si="25"/>
        <v>6.745201834392657E-2</v>
      </c>
      <c r="AU11" s="61">
        <f t="shared" si="25"/>
        <v>6.745201834392657E-2</v>
      </c>
      <c r="AV11" s="61">
        <f t="shared" si="25"/>
        <v>6.655565089999893E-2</v>
      </c>
      <c r="AW11" s="61">
        <f t="shared" si="25"/>
        <v>6.1804579116348624E-2</v>
      </c>
      <c r="AX11" s="61">
        <f t="shared" si="25"/>
        <v>6.1804579116348624E-2</v>
      </c>
      <c r="AY11" s="61">
        <f t="shared" si="25"/>
        <v>6.1804579116348624E-2</v>
      </c>
      <c r="AZ11" s="61">
        <f t="shared" si="25"/>
        <v>6.5962907352784275E-2</v>
      </c>
      <c r="BA11" s="61">
        <f t="shared" si="25"/>
        <v>6.5962907352784275E-2</v>
      </c>
      <c r="BB11" s="61">
        <f t="shared" si="25"/>
        <v>6.6327047610711801E-2</v>
      </c>
      <c r="BC11" s="61">
        <f t="shared" si="25"/>
        <v>6.7243750595890883E-2</v>
      </c>
      <c r="BD11" s="61">
        <f t="shared" si="25"/>
        <v>5.8102398048956866E-2</v>
      </c>
      <c r="BE11" s="61">
        <f t="shared" si="25"/>
        <v>6.5419324403548515E-2</v>
      </c>
      <c r="BF11" s="61">
        <f t="shared" si="25"/>
        <v>6.5419324403548515E-2</v>
      </c>
      <c r="BG11" s="61">
        <f t="shared" si="25"/>
        <v>7.1084099700669881E-2</v>
      </c>
      <c r="BH11" s="61">
        <f t="shared" si="25"/>
        <v>6.8095003449080163E-2</v>
      </c>
      <c r="BI11" s="61">
        <f t="shared" si="25"/>
        <v>6.8095003449080163E-2</v>
      </c>
      <c r="BJ11" s="61">
        <f t="shared" si="25"/>
        <v>6.9701804016374339E-2</v>
      </c>
      <c r="BK11" s="61">
        <f t="shared" si="25"/>
        <v>6.9701804016374339E-2</v>
      </c>
      <c r="BL11" s="61">
        <f t="shared" si="25"/>
        <v>6.9343801309892178E-2</v>
      </c>
      <c r="BM11" s="61">
        <f t="shared" si="25"/>
        <v>6.8318378499028318E-2</v>
      </c>
      <c r="BN11" s="61">
        <f t="shared" si="25"/>
        <v>6.937843010290598E-2</v>
      </c>
      <c r="BO11" s="61">
        <f t="shared" si="25"/>
        <v>6.8131351802790591E-2</v>
      </c>
      <c r="BP11" s="61">
        <f t="shared" si="25"/>
        <v>6.7511934859161099E-2</v>
      </c>
      <c r="BQ11" s="61">
        <f t="shared" ref="BQ11:CV11" si="26">((BQ26-BQ$30)/BQ$30*BQ$31+1)*$B$26/SUM($B$18:$B$29)</f>
        <v>6.7511934859161099E-2</v>
      </c>
      <c r="BR11" s="61">
        <f t="shared" si="26"/>
        <v>6.7298655379366162E-2</v>
      </c>
      <c r="BS11" s="61">
        <f t="shared" si="26"/>
        <v>6.7352612678490034E-2</v>
      </c>
      <c r="BT11" s="61">
        <f t="shared" si="26"/>
        <v>6.5866950901668289E-2</v>
      </c>
      <c r="BU11" s="61">
        <f t="shared" si="26"/>
        <v>6.4199000913507762E-2</v>
      </c>
      <c r="BV11" s="61">
        <f t="shared" si="26"/>
        <v>6.6530571710855205E-2</v>
      </c>
      <c r="BW11" s="61">
        <f t="shared" si="26"/>
        <v>6.6530571710855205E-2</v>
      </c>
      <c r="BX11" s="61">
        <f t="shared" si="26"/>
        <v>6.5904105568094215E-2</v>
      </c>
      <c r="BY11" s="61">
        <f t="shared" si="26"/>
        <v>6.7333804437609418E-2</v>
      </c>
      <c r="BZ11" s="61">
        <f t="shared" si="26"/>
        <v>6.4106850707050064E-2</v>
      </c>
      <c r="CA11" s="61">
        <f t="shared" si="26"/>
        <v>7.0017898637675588E-2</v>
      </c>
      <c r="CB11" s="61">
        <f t="shared" si="26"/>
        <v>6.7388284163494905E-2</v>
      </c>
      <c r="CC11" s="61">
        <f t="shared" si="26"/>
        <v>7.085385955104391E-2</v>
      </c>
      <c r="CD11" s="61">
        <f t="shared" si="26"/>
        <v>6.9375664898449804E-2</v>
      </c>
      <c r="CE11" s="61">
        <f t="shared" si="26"/>
        <v>7.1640885503281376E-2</v>
      </c>
      <c r="CF11" s="61">
        <f t="shared" si="26"/>
        <v>6.4744846942248219E-2</v>
      </c>
      <c r="CG11" s="61">
        <f t="shared" si="26"/>
        <v>7.084962451661328E-2</v>
      </c>
      <c r="CH11" s="61">
        <f t="shared" si="26"/>
        <v>6.8934178995051262E-2</v>
      </c>
      <c r="CI11" s="61">
        <f t="shared" si="26"/>
        <v>7.0597885004921812E-2</v>
      </c>
      <c r="CJ11" s="61">
        <f t="shared" si="26"/>
        <v>7.1337678914576194E-2</v>
      </c>
      <c r="CK11" s="61">
        <f t="shared" si="26"/>
        <v>6.9365430768598219E-2</v>
      </c>
      <c r="CL11" s="61">
        <f t="shared" si="26"/>
        <v>6.8324695585570999E-2</v>
      </c>
      <c r="CM11" s="61">
        <f t="shared" si="26"/>
        <v>6.8324695585570999E-2</v>
      </c>
      <c r="CN11" s="61">
        <f t="shared" si="26"/>
        <v>6.5962907352784275E-2</v>
      </c>
      <c r="CO11" s="61">
        <f t="shared" si="26"/>
        <v>6.5962907352784275E-2</v>
      </c>
      <c r="CP11" s="61">
        <v>8.879521705497502E-2</v>
      </c>
      <c r="CQ11" s="61">
        <v>9.5660716664446518E-2</v>
      </c>
      <c r="CR11" s="61" t="s">
        <v>47</v>
      </c>
      <c r="CS11" s="61">
        <f t="shared" si="26"/>
        <v>6.7739250183364963E-2</v>
      </c>
      <c r="CT11" s="61">
        <f t="shared" si="26"/>
        <v>7.0750032068848084E-2</v>
      </c>
      <c r="CU11" s="61">
        <f t="shared" si="26"/>
        <v>6.8652606582128031E-2</v>
      </c>
      <c r="CV11" s="61">
        <f t="shared" si="26"/>
        <v>6.5427552174376985E-2</v>
      </c>
      <c r="CW11" s="214">
        <v>9.5280000000000004E-2</v>
      </c>
      <c r="CX11" s="214">
        <v>8.5879999999999998E-2</v>
      </c>
      <c r="CY11" s="61">
        <f t="shared" ref="CY11" si="27">((CY26-CY$30)/CY$30*CY$31+1)*$B$26/SUM($B$18:$B$29)</f>
        <v>6.2991563703097053E-2</v>
      </c>
      <c r="CZ11" s="61">
        <f>((CZ26-CZ$30)/CZ$30*CZ$31+1)*$B$26/SUM($B$18:$B$29)</f>
        <v>6.6325242773504323E-2</v>
      </c>
      <c r="DA11" s="61">
        <v>6.3E-2</v>
      </c>
      <c r="DB11" s="62">
        <v>6.4000000000000001E-2</v>
      </c>
      <c r="DC11" s="61">
        <v>6.3E-2</v>
      </c>
      <c r="DD11" s="61">
        <v>0.06</v>
      </c>
    </row>
    <row r="12" spans="3:108" x14ac:dyDescent="0.35">
      <c r="C12" s="63" t="s">
        <v>273</v>
      </c>
      <c r="D12" s="61">
        <f>((D27-D$30)/D$30*D$31+1)*$B$27/SUM($B$18:$B$29)</f>
        <v>9.4185830268929502E-2</v>
      </c>
      <c r="E12" s="61">
        <f t="shared" ref="E12:BP12" si="28">((E27-E$30)/E$30*E$31+1)*$B$27/SUM($B$18:$B$29)</f>
        <v>9.4185830268929502E-2</v>
      </c>
      <c r="F12" s="61">
        <f t="shared" si="28"/>
        <v>9.7255211137981579E-2</v>
      </c>
      <c r="G12" s="61">
        <f t="shared" si="28"/>
        <v>9.6818993443483062E-2</v>
      </c>
      <c r="H12" s="61">
        <f t="shared" si="28"/>
        <v>9.6523761762678406E-2</v>
      </c>
      <c r="I12" s="61">
        <f t="shared" si="28"/>
        <v>9.6523761762678406E-2</v>
      </c>
      <c r="J12" s="61">
        <f t="shared" si="28"/>
        <v>9.6523761762678406E-2</v>
      </c>
      <c r="K12" s="61">
        <f t="shared" si="28"/>
        <v>9.6523761762678406E-2</v>
      </c>
      <c r="L12" s="61">
        <f t="shared" si="28"/>
        <v>8.0224019654007217E-2</v>
      </c>
      <c r="M12" s="61">
        <f t="shared" si="28"/>
        <v>8.0224019654007217E-2</v>
      </c>
      <c r="N12" s="61">
        <f t="shared" si="28"/>
        <v>7.9880601405642765E-2</v>
      </c>
      <c r="O12" s="61">
        <f t="shared" si="28"/>
        <v>8.9256324780972798E-2</v>
      </c>
      <c r="P12" s="61">
        <f t="shared" si="28"/>
        <v>8.411841604954283E-2</v>
      </c>
      <c r="Q12" s="61">
        <f t="shared" si="28"/>
        <v>9.6622367600181655E-2</v>
      </c>
      <c r="R12" s="61">
        <f t="shared" si="28"/>
        <v>9.676352572628745E-2</v>
      </c>
      <c r="S12" s="61">
        <f t="shared" si="28"/>
        <v>9.676352572628745E-2</v>
      </c>
      <c r="T12" s="61">
        <f t="shared" si="28"/>
        <v>9.676352572628745E-2</v>
      </c>
      <c r="U12" s="61">
        <f t="shared" si="28"/>
        <v>9.0632636929033811E-2</v>
      </c>
      <c r="V12" s="61">
        <f t="shared" si="28"/>
        <v>9.3657699452557322E-2</v>
      </c>
      <c r="W12" s="61">
        <f t="shared" si="28"/>
        <v>9.3657699452557322E-2</v>
      </c>
      <c r="X12" s="61">
        <f t="shared" si="28"/>
        <v>9.3657699452557322E-2</v>
      </c>
      <c r="Y12" s="61">
        <f t="shared" si="28"/>
        <v>9.3657699452557322E-2</v>
      </c>
      <c r="Z12" s="61">
        <f t="shared" si="28"/>
        <v>9.4570104362217411E-2</v>
      </c>
      <c r="AA12" s="61">
        <f t="shared" si="28"/>
        <v>8.7137188763969461E-2</v>
      </c>
      <c r="AB12" s="61">
        <f t="shared" si="28"/>
        <v>8.7137188763969461E-2</v>
      </c>
      <c r="AC12" s="61">
        <f t="shared" si="28"/>
        <v>8.7137188763969461E-2</v>
      </c>
      <c r="AD12" s="61">
        <f t="shared" si="28"/>
        <v>8.7137188763969461E-2</v>
      </c>
      <c r="AE12" s="61">
        <f t="shared" si="28"/>
        <v>9.5260624855399642E-2</v>
      </c>
      <c r="AF12" s="61">
        <f t="shared" si="28"/>
        <v>9.5260624855399642E-2</v>
      </c>
      <c r="AG12" s="61">
        <f t="shared" si="28"/>
        <v>9.5434046906587744E-2</v>
      </c>
      <c r="AH12" s="61">
        <f t="shared" si="28"/>
        <v>9.5434046906587744E-2</v>
      </c>
      <c r="AI12" s="61">
        <f t="shared" si="28"/>
        <v>9.0897605150486852E-2</v>
      </c>
      <c r="AJ12" s="61">
        <f t="shared" si="28"/>
        <v>9.3785821901772135E-2</v>
      </c>
      <c r="AK12" s="61">
        <f t="shared" si="28"/>
        <v>8.8807603001207019E-2</v>
      </c>
      <c r="AL12" s="61">
        <f t="shared" si="28"/>
        <v>9.8471090832355848E-2</v>
      </c>
      <c r="AM12" s="61">
        <f t="shared" si="28"/>
        <v>8.7362779114156561E-2</v>
      </c>
      <c r="AN12" s="61">
        <f t="shared" si="28"/>
        <v>8.7362779114156561E-2</v>
      </c>
      <c r="AO12" s="61">
        <f t="shared" si="28"/>
        <v>9.6026968691410294E-2</v>
      </c>
      <c r="AP12" s="61">
        <f t="shared" si="28"/>
        <v>9.6026968691410294E-2</v>
      </c>
      <c r="AQ12" s="61">
        <f t="shared" si="28"/>
        <v>9.6026968691410294E-2</v>
      </c>
      <c r="AR12" s="61">
        <f t="shared" si="28"/>
        <v>0.1026927466739281</v>
      </c>
      <c r="AS12" s="61">
        <f t="shared" si="28"/>
        <v>9.6124469158368975E-2</v>
      </c>
      <c r="AT12" s="61">
        <f t="shared" si="28"/>
        <v>9.6124469158368975E-2</v>
      </c>
      <c r="AU12" s="61">
        <f t="shared" si="28"/>
        <v>9.6124469158368975E-2</v>
      </c>
      <c r="AV12" s="61">
        <f t="shared" si="28"/>
        <v>9.3051833774998746E-2</v>
      </c>
      <c r="AW12" s="61">
        <f t="shared" si="28"/>
        <v>8.963049991109312E-2</v>
      </c>
      <c r="AX12" s="61">
        <f t="shared" si="28"/>
        <v>8.963049991109312E-2</v>
      </c>
      <c r="AY12" s="61">
        <f t="shared" si="28"/>
        <v>8.963049991109312E-2</v>
      </c>
      <c r="AZ12" s="61">
        <f t="shared" si="28"/>
        <v>8.4513951661289083E-2</v>
      </c>
      <c r="BA12" s="61">
        <f t="shared" si="28"/>
        <v>8.4513951661289083E-2</v>
      </c>
      <c r="BB12" s="61">
        <f t="shared" si="28"/>
        <v>9.3496342205144398E-2</v>
      </c>
      <c r="BC12" s="61">
        <f t="shared" si="28"/>
        <v>9.6124379995255818E-2</v>
      </c>
      <c r="BD12" s="61">
        <f t="shared" si="28"/>
        <v>8.9491844142756335E-2</v>
      </c>
      <c r="BE12" s="61">
        <f t="shared" si="28"/>
        <v>9.0296185985618588E-2</v>
      </c>
      <c r="BF12" s="61">
        <f t="shared" si="28"/>
        <v>9.0296185985618588E-2</v>
      </c>
      <c r="BG12" s="61">
        <f t="shared" si="28"/>
        <v>9.3492267652300953E-2</v>
      </c>
      <c r="BH12" s="61">
        <f t="shared" si="28"/>
        <v>9.7575295914267765E-2</v>
      </c>
      <c r="BI12" s="61">
        <f t="shared" si="28"/>
        <v>9.7575295914267765E-2</v>
      </c>
      <c r="BJ12" s="61">
        <f t="shared" si="28"/>
        <v>9.3430522882735262E-2</v>
      </c>
      <c r="BK12" s="61">
        <f t="shared" si="28"/>
        <v>9.3430522882735262E-2</v>
      </c>
      <c r="BL12" s="61">
        <f t="shared" si="28"/>
        <v>9.6879422687572103E-2</v>
      </c>
      <c r="BM12" s="61">
        <f t="shared" si="28"/>
        <v>9.5338253377172125E-2</v>
      </c>
      <c r="BN12" s="61">
        <f t="shared" si="28"/>
        <v>9.3864001788913173E-2</v>
      </c>
      <c r="BO12" s="61">
        <f t="shared" si="28"/>
        <v>9.0121121561969081E-2</v>
      </c>
      <c r="BP12" s="61">
        <f t="shared" si="28"/>
        <v>9.8240657229412789E-2</v>
      </c>
      <c r="BQ12" s="61">
        <f t="shared" ref="BQ12:CV12" si="29">((BQ27-BQ$30)/BQ$30*BQ$31+1)*$B$27/SUM($B$18:$B$29)</f>
        <v>9.8240657229412789E-2</v>
      </c>
      <c r="BR12" s="61">
        <f t="shared" si="29"/>
        <v>9.0717232201494483E-2</v>
      </c>
      <c r="BS12" s="61">
        <f t="shared" si="29"/>
        <v>9.0559973044224806E-2</v>
      </c>
      <c r="BT12" s="61">
        <f t="shared" si="29"/>
        <v>9.5676763089550837E-2</v>
      </c>
      <c r="BU12" s="61">
        <f t="shared" si="29"/>
        <v>9.7072835767330085E-2</v>
      </c>
      <c r="BV12" s="61">
        <f t="shared" si="29"/>
        <v>9.6594471217031921E-2</v>
      </c>
      <c r="BW12" s="61">
        <f t="shared" si="29"/>
        <v>9.6594471217031921E-2</v>
      </c>
      <c r="BX12" s="61">
        <f t="shared" si="29"/>
        <v>9.5521494596572831E-2</v>
      </c>
      <c r="BY12" s="61">
        <f t="shared" si="29"/>
        <v>9.4283438747964785E-2</v>
      </c>
      <c r="BZ12" s="61">
        <f t="shared" si="29"/>
        <v>7.4284383235269091E-2</v>
      </c>
      <c r="CA12" s="61">
        <f t="shared" si="29"/>
        <v>9.3810432592555157E-2</v>
      </c>
      <c r="CB12" s="61">
        <f t="shared" si="29"/>
        <v>9.2389716515357559E-2</v>
      </c>
      <c r="CC12" s="61">
        <f t="shared" si="29"/>
        <v>9.1670954757210238E-2</v>
      </c>
      <c r="CD12" s="61">
        <f t="shared" si="29"/>
        <v>9.537476857366016E-2</v>
      </c>
      <c r="CE12" s="61">
        <f t="shared" si="29"/>
        <v>9.3890145500979849E-2</v>
      </c>
      <c r="CF12" s="61">
        <f t="shared" si="29"/>
        <v>8.7357126763645668E-2</v>
      </c>
      <c r="CG12" s="61">
        <f t="shared" si="29"/>
        <v>9.4498825914885662E-2</v>
      </c>
      <c r="CH12" s="61">
        <f t="shared" si="29"/>
        <v>9.2978589993247193E-2</v>
      </c>
      <c r="CI12" s="61">
        <f t="shared" si="29"/>
        <v>9.3153501002904218E-2</v>
      </c>
      <c r="CJ12" s="61">
        <f t="shared" si="29"/>
        <v>9.5167151139777043E-2</v>
      </c>
      <c r="CK12" s="61">
        <f t="shared" si="29"/>
        <v>9.4991377744048699E-2</v>
      </c>
      <c r="CL12" s="61">
        <f t="shared" si="29"/>
        <v>9.8056820679861295E-2</v>
      </c>
      <c r="CM12" s="61">
        <f t="shared" si="29"/>
        <v>9.8056820679861295E-2</v>
      </c>
      <c r="CN12" s="61">
        <f t="shared" si="29"/>
        <v>8.4513951661289083E-2</v>
      </c>
      <c r="CO12" s="61">
        <f t="shared" si="29"/>
        <v>8.4513951661289083E-2</v>
      </c>
      <c r="CP12" s="61">
        <v>6.9790615043725648E-2</v>
      </c>
      <c r="CQ12" s="61">
        <v>7.5529505794591723E-2</v>
      </c>
      <c r="CR12" s="61" t="s">
        <v>47</v>
      </c>
      <c r="CS12" s="61">
        <f t="shared" si="29"/>
        <v>8.0303270019014397E-2</v>
      </c>
      <c r="CT12" s="61">
        <f t="shared" si="29"/>
        <v>9.5031653786903883E-2</v>
      </c>
      <c r="CU12" s="61">
        <f t="shared" si="29"/>
        <v>9.4661247980677612E-2</v>
      </c>
      <c r="CV12" s="61">
        <f t="shared" si="29"/>
        <v>8.8120116491886599E-2</v>
      </c>
      <c r="CW12" s="214">
        <v>6.4269999999999994E-2</v>
      </c>
      <c r="CX12" s="214">
        <v>6.5140000000000003E-2</v>
      </c>
      <c r="CY12" s="61">
        <f t="shared" ref="CY12" si="30">((CY27-CY$30)/CY$30*CY$31+1)*$B$27/SUM($B$18:$B$29)</f>
        <v>8.8428963029727164E-2</v>
      </c>
      <c r="CZ12" s="61">
        <f>((CZ27-CZ$30)/CZ$30*CZ$31+1)*$B$27/SUM($B$18:$B$29)</f>
        <v>8.6001161024562137E-2</v>
      </c>
      <c r="DA12" s="61">
        <v>8.5999999999999993E-2</v>
      </c>
      <c r="DB12" s="62">
        <v>8.5999999999999993E-2</v>
      </c>
      <c r="DC12" s="61">
        <v>8.5999999999999993E-2</v>
      </c>
      <c r="DD12" s="61">
        <v>9.5000000000000001E-2</v>
      </c>
    </row>
    <row r="13" spans="3:108" x14ac:dyDescent="0.35">
      <c r="C13" s="63" t="s">
        <v>274</v>
      </c>
      <c r="D13" s="61">
        <f>((D28-D$30)/D$30*D$31+1)*$B$28/SUM($B$18:$B$29)</f>
        <v>8.9930989322154709E-2</v>
      </c>
      <c r="E13" s="61">
        <f t="shared" ref="E13:BP13" si="31">((E28-E$30)/E$30*E$31+1)*$B$28/SUM($B$18:$B$29)</f>
        <v>8.9930989322154709E-2</v>
      </c>
      <c r="F13" s="61">
        <f t="shared" si="31"/>
        <v>0.10310675319921361</v>
      </c>
      <c r="G13" s="61">
        <f t="shared" si="31"/>
        <v>0.10298535610240701</v>
      </c>
      <c r="H13" s="61">
        <f t="shared" si="31"/>
        <v>0.10807955242804947</v>
      </c>
      <c r="I13" s="61">
        <f t="shared" si="31"/>
        <v>0.10807955242804947</v>
      </c>
      <c r="J13" s="61">
        <f t="shared" si="31"/>
        <v>0.10807955242804947</v>
      </c>
      <c r="K13" s="61">
        <f t="shared" si="31"/>
        <v>0.10807955242804947</v>
      </c>
      <c r="L13" s="61">
        <f t="shared" si="31"/>
        <v>0.10114398319660732</v>
      </c>
      <c r="M13" s="61">
        <f t="shared" si="31"/>
        <v>0.10114398319660732</v>
      </c>
      <c r="N13" s="61">
        <f t="shared" si="31"/>
        <v>0.10254801714305264</v>
      </c>
      <c r="O13" s="61">
        <f t="shared" si="31"/>
        <v>0.10302594407492925</v>
      </c>
      <c r="P13" s="61">
        <f t="shared" si="31"/>
        <v>9.8653062492153207E-2</v>
      </c>
      <c r="Q13" s="61">
        <f t="shared" si="31"/>
        <v>0.10255693573876949</v>
      </c>
      <c r="R13" s="61">
        <f t="shared" si="31"/>
        <v>9.9099913659756858E-2</v>
      </c>
      <c r="S13" s="61">
        <f t="shared" si="31"/>
        <v>9.9099913659756858E-2</v>
      </c>
      <c r="T13" s="61">
        <f t="shared" si="31"/>
        <v>9.9099913659756858E-2</v>
      </c>
      <c r="U13" s="61">
        <f t="shared" si="31"/>
        <v>9.4934940814155891E-2</v>
      </c>
      <c r="V13" s="61">
        <f t="shared" si="31"/>
        <v>9.7038650849787897E-2</v>
      </c>
      <c r="W13" s="61">
        <f t="shared" si="31"/>
        <v>9.7038650849787897E-2</v>
      </c>
      <c r="X13" s="61">
        <f t="shared" si="31"/>
        <v>9.7038650849787897E-2</v>
      </c>
      <c r="Y13" s="61">
        <f t="shared" si="31"/>
        <v>9.7038650849787897E-2</v>
      </c>
      <c r="Z13" s="61">
        <f t="shared" si="31"/>
        <v>9.7855258746778945E-2</v>
      </c>
      <c r="AA13" s="61">
        <f t="shared" si="31"/>
        <v>9.6012730159212981E-2</v>
      </c>
      <c r="AB13" s="61">
        <f t="shared" si="31"/>
        <v>9.6012730159212981E-2</v>
      </c>
      <c r="AC13" s="61">
        <f t="shared" si="31"/>
        <v>9.6012730159212981E-2</v>
      </c>
      <c r="AD13" s="61">
        <f t="shared" si="31"/>
        <v>9.6012730159212981E-2</v>
      </c>
      <c r="AE13" s="61">
        <f t="shared" si="31"/>
        <v>9.7093007864655204E-2</v>
      </c>
      <c r="AF13" s="61">
        <f t="shared" si="31"/>
        <v>9.7093007864655204E-2</v>
      </c>
      <c r="AG13" s="61">
        <f t="shared" si="31"/>
        <v>9.7549578841928608E-2</v>
      </c>
      <c r="AH13" s="61">
        <f t="shared" si="31"/>
        <v>9.7549578841928608E-2</v>
      </c>
      <c r="AI13" s="61">
        <f t="shared" si="31"/>
        <v>9.1173811342178418E-2</v>
      </c>
      <c r="AJ13" s="61">
        <f t="shared" si="31"/>
        <v>0.10955347628777237</v>
      </c>
      <c r="AK13" s="61">
        <f t="shared" si="31"/>
        <v>0.10376653438535126</v>
      </c>
      <c r="AL13" s="61">
        <f t="shared" si="31"/>
        <v>9.9280916692100887E-2</v>
      </c>
      <c r="AM13" s="61">
        <f t="shared" si="31"/>
        <v>9.8580334998101329E-2</v>
      </c>
      <c r="AN13" s="61">
        <f t="shared" si="31"/>
        <v>9.8580334998101329E-2</v>
      </c>
      <c r="AO13" s="61">
        <f t="shared" si="31"/>
        <v>9.9380515432850772E-2</v>
      </c>
      <c r="AP13" s="61">
        <f t="shared" si="31"/>
        <v>9.9380515432850772E-2</v>
      </c>
      <c r="AQ13" s="61">
        <f t="shared" si="31"/>
        <v>9.9380515432850772E-2</v>
      </c>
      <c r="AR13" s="61">
        <f t="shared" si="31"/>
        <v>0.10318318244155716</v>
      </c>
      <c r="AS13" s="61">
        <f t="shared" si="31"/>
        <v>9.7190019010339565E-2</v>
      </c>
      <c r="AT13" s="61">
        <f t="shared" si="31"/>
        <v>9.7190019010339565E-2</v>
      </c>
      <c r="AU13" s="61">
        <f t="shared" si="31"/>
        <v>9.7190019010339565E-2</v>
      </c>
      <c r="AV13" s="61">
        <f t="shared" si="31"/>
        <v>9.6827972111222585E-2</v>
      </c>
      <c r="AW13" s="61">
        <f t="shared" si="31"/>
        <v>0.10197701334045904</v>
      </c>
      <c r="AX13" s="61">
        <f t="shared" si="31"/>
        <v>0.10197701334045904</v>
      </c>
      <c r="AY13" s="61">
        <f t="shared" si="31"/>
        <v>0.10197701334045904</v>
      </c>
      <c r="AZ13" s="61">
        <f t="shared" si="31"/>
        <v>0.10376010273101408</v>
      </c>
      <c r="BA13" s="61">
        <f t="shared" si="31"/>
        <v>0.10376010273101408</v>
      </c>
      <c r="BB13" s="61">
        <f t="shared" si="31"/>
        <v>9.830221302945627E-2</v>
      </c>
      <c r="BC13" s="61">
        <f t="shared" si="31"/>
        <v>9.9531126715111801E-2</v>
      </c>
      <c r="BD13" s="61">
        <f t="shared" si="31"/>
        <v>9.8128343861532116E-2</v>
      </c>
      <c r="BE13" s="61">
        <f t="shared" si="31"/>
        <v>9.9770849203309697E-2</v>
      </c>
      <c r="BF13" s="61">
        <f t="shared" si="31"/>
        <v>9.9770849203309697E-2</v>
      </c>
      <c r="BG13" s="61">
        <f t="shared" si="31"/>
        <v>9.3658602768831492E-2</v>
      </c>
      <c r="BH13" s="61">
        <f t="shared" si="31"/>
        <v>0.10000287142241374</v>
      </c>
      <c r="BI13" s="61">
        <f t="shared" si="31"/>
        <v>0.10000287142241374</v>
      </c>
      <c r="BJ13" s="61">
        <f t="shared" si="31"/>
        <v>9.573283062224712E-2</v>
      </c>
      <c r="BK13" s="61">
        <f t="shared" si="31"/>
        <v>9.573283062224712E-2</v>
      </c>
      <c r="BL13" s="61">
        <f t="shared" si="31"/>
        <v>9.9249374330809603E-2</v>
      </c>
      <c r="BM13" s="61">
        <f t="shared" si="31"/>
        <v>9.7846708827694515E-2</v>
      </c>
      <c r="BN13" s="61">
        <f t="shared" si="31"/>
        <v>9.5172845002229819E-2</v>
      </c>
      <c r="BO13" s="61">
        <f t="shared" si="31"/>
        <v>9.6198236247251268E-2</v>
      </c>
      <c r="BP13" s="61">
        <f t="shared" si="31"/>
        <v>9.9385530010742851E-2</v>
      </c>
      <c r="BQ13" s="61">
        <f t="shared" ref="BQ13:CV13" si="32">((BQ28-BQ$30)/BQ$30*BQ$31+1)*$B$28/SUM($B$18:$B$29)</f>
        <v>9.9385530010742851E-2</v>
      </c>
      <c r="BR13" s="61">
        <f t="shared" si="32"/>
        <v>9.440126164436495E-2</v>
      </c>
      <c r="BS13" s="61">
        <f t="shared" si="32"/>
        <v>9.4206497672580103E-2</v>
      </c>
      <c r="BT13" s="61">
        <f t="shared" si="32"/>
        <v>0.10323980418717897</v>
      </c>
      <c r="BU13" s="61">
        <f t="shared" si="32"/>
        <v>0.10222416241404568</v>
      </c>
      <c r="BV13" s="61">
        <f t="shared" si="32"/>
        <v>9.8927638476178234E-2</v>
      </c>
      <c r="BW13" s="61">
        <f t="shared" si="32"/>
        <v>9.8927638476178234E-2</v>
      </c>
      <c r="BX13" s="61">
        <f t="shared" si="32"/>
        <v>9.8952384877864966E-2</v>
      </c>
      <c r="BY13" s="61">
        <f t="shared" si="32"/>
        <v>9.6280653527623897E-2</v>
      </c>
      <c r="BZ13" s="61">
        <f t="shared" si="32"/>
        <v>9.3616117910791899E-2</v>
      </c>
      <c r="CA13" s="61">
        <f t="shared" si="32"/>
        <v>9.4129557047883158E-2</v>
      </c>
      <c r="CB13" s="61">
        <f t="shared" si="32"/>
        <v>9.6580382828909545E-2</v>
      </c>
      <c r="CC13" s="61">
        <f t="shared" si="32"/>
        <v>9.2574050736274463E-2</v>
      </c>
      <c r="CD13" s="61">
        <f t="shared" si="32"/>
        <v>9.3613177095423161E-2</v>
      </c>
      <c r="CE13" s="61">
        <f t="shared" si="32"/>
        <v>9.1887121499850746E-2</v>
      </c>
      <c r="CF13" s="61">
        <f t="shared" si="32"/>
        <v>9.4936943176498576E-2</v>
      </c>
      <c r="CG13" s="61">
        <f t="shared" si="32"/>
        <v>9.2616562664006613E-2</v>
      </c>
      <c r="CH13" s="61">
        <f t="shared" si="32"/>
        <v>9.398353781621463E-2</v>
      </c>
      <c r="CI13" s="61">
        <f t="shared" si="32"/>
        <v>9.3965885115840905E-2</v>
      </c>
      <c r="CJ13" s="61">
        <f t="shared" si="32"/>
        <v>9.6006511607283629E-2</v>
      </c>
      <c r="CK13" s="61">
        <f t="shared" si="32"/>
        <v>9.7529711781816353E-2</v>
      </c>
      <c r="CL13" s="61">
        <f t="shared" si="32"/>
        <v>9.9592636611006174E-2</v>
      </c>
      <c r="CM13" s="61">
        <f t="shared" si="32"/>
        <v>9.9592636611006174E-2</v>
      </c>
      <c r="CN13" s="61">
        <f t="shared" si="32"/>
        <v>0.10376010273101408</v>
      </c>
      <c r="CO13" s="61">
        <f t="shared" si="32"/>
        <v>0.10376010273101408</v>
      </c>
      <c r="CP13" s="61">
        <v>4.9946899870199679E-2</v>
      </c>
      <c r="CQ13" s="61">
        <v>4.6073664579725594E-2</v>
      </c>
      <c r="CR13" s="61" t="s">
        <v>47</v>
      </c>
      <c r="CS13" s="61">
        <f t="shared" si="32"/>
        <v>0.10081997536281224</v>
      </c>
      <c r="CT13" s="61">
        <f t="shared" si="32"/>
        <v>9.3335671286487953E-2</v>
      </c>
      <c r="CU13" s="61">
        <f t="shared" si="32"/>
        <v>9.649272221560902E-2</v>
      </c>
      <c r="CV13" s="61">
        <f t="shared" si="32"/>
        <v>0.10068680061318941</v>
      </c>
      <c r="CW13" s="214">
        <v>3.542E-2</v>
      </c>
      <c r="CX13" s="214">
        <v>4.3209999999999998E-2</v>
      </c>
      <c r="CY13" s="61">
        <f t="shared" ref="CY13" si="33">((CY28-CY$30)/CY$30*CY$31+1)*$B$28/SUM($B$18:$B$29)</f>
        <v>0.10360593685789113</v>
      </c>
      <c r="CZ13" s="61">
        <f>((CZ28-CZ$30)/CZ$30*CZ$31+1)*$B$28/SUM($B$18:$B$29)</f>
        <v>9.0941814294161302E-2</v>
      </c>
      <c r="DA13" s="61">
        <v>0.1</v>
      </c>
      <c r="DB13" s="62">
        <v>9.9000000000000005E-2</v>
      </c>
      <c r="DC13" s="61">
        <v>0.1</v>
      </c>
      <c r="DD13" s="61">
        <v>0.105</v>
      </c>
    </row>
    <row r="14" spans="3:108" x14ac:dyDescent="0.35">
      <c r="C14" s="63" t="s">
        <v>275</v>
      </c>
      <c r="D14" s="61">
        <f>((D29-D$30)/D$30*D$31+1)*$B$29/SUM($B$18:$B$29)</f>
        <v>9.5048574300196267E-2</v>
      </c>
      <c r="E14" s="61">
        <f t="shared" ref="E14:BP14" si="34">((E29-E$30)/E$30*E$31+1)*$B$29/SUM($B$18:$B$29)</f>
        <v>9.5048574300196267E-2</v>
      </c>
      <c r="F14" s="61">
        <f t="shared" si="34"/>
        <v>0.12584617153492239</v>
      </c>
      <c r="G14" s="61">
        <f t="shared" si="34"/>
        <v>0.12495269487287</v>
      </c>
      <c r="H14" s="61">
        <f t="shared" si="34"/>
        <v>0.11976670679590323</v>
      </c>
      <c r="I14" s="61">
        <f t="shared" si="34"/>
        <v>0.11976670679590323</v>
      </c>
      <c r="J14" s="61">
        <f t="shared" si="34"/>
        <v>0.11976670679590323</v>
      </c>
      <c r="K14" s="61">
        <f t="shared" si="34"/>
        <v>0.11976670679590323</v>
      </c>
      <c r="L14" s="61">
        <f t="shared" si="34"/>
        <v>0.10821798914996925</v>
      </c>
      <c r="M14" s="61">
        <f t="shared" si="34"/>
        <v>0.10821798914996925</v>
      </c>
      <c r="N14" s="61">
        <f t="shared" si="34"/>
        <v>0.10994230728482927</v>
      </c>
      <c r="O14" s="61">
        <f t="shared" si="34"/>
        <v>0.11948090987216071</v>
      </c>
      <c r="P14" s="61">
        <f t="shared" si="34"/>
        <v>0.1023537324549573</v>
      </c>
      <c r="Q14" s="61">
        <f t="shared" si="34"/>
        <v>0.1232723894350914</v>
      </c>
      <c r="R14" s="61">
        <f t="shared" si="34"/>
        <v>0.11957492398544187</v>
      </c>
      <c r="S14" s="61">
        <f t="shared" si="34"/>
        <v>0.11957492398544187</v>
      </c>
      <c r="T14" s="61">
        <f t="shared" si="34"/>
        <v>0.11957492398544187</v>
      </c>
      <c r="U14" s="61">
        <f t="shared" si="34"/>
        <v>0.11880419633505293</v>
      </c>
      <c r="V14" s="61">
        <f t="shared" si="34"/>
        <v>0.11493481291133012</v>
      </c>
      <c r="W14" s="61">
        <f t="shared" si="34"/>
        <v>0.11493481291133012</v>
      </c>
      <c r="X14" s="61">
        <f t="shared" si="34"/>
        <v>0.11493481291133012</v>
      </c>
      <c r="Y14" s="61">
        <f t="shared" si="34"/>
        <v>0.11493481291133012</v>
      </c>
      <c r="Z14" s="61">
        <f t="shared" si="34"/>
        <v>0.11802390352124535</v>
      </c>
      <c r="AA14" s="61">
        <f t="shared" si="34"/>
        <v>0.11927968462281481</v>
      </c>
      <c r="AB14" s="61">
        <f t="shared" si="34"/>
        <v>0.11927968462281481</v>
      </c>
      <c r="AC14" s="61">
        <f t="shared" si="34"/>
        <v>0.11927968462281481</v>
      </c>
      <c r="AD14" s="61">
        <f t="shared" si="34"/>
        <v>0.11927968462281481</v>
      </c>
      <c r="AE14" s="61">
        <f t="shared" si="34"/>
        <v>0.11762149810653616</v>
      </c>
      <c r="AF14" s="61">
        <f t="shared" si="34"/>
        <v>0.11762149810653616</v>
      </c>
      <c r="AG14" s="61">
        <f t="shared" si="34"/>
        <v>0.11730246911705769</v>
      </c>
      <c r="AH14" s="61">
        <f t="shared" si="34"/>
        <v>0.11730246911705769</v>
      </c>
      <c r="AI14" s="61">
        <f t="shared" si="34"/>
        <v>9.6854423404561768E-2</v>
      </c>
      <c r="AJ14" s="61">
        <f t="shared" si="34"/>
        <v>0.13027853380168983</v>
      </c>
      <c r="AK14" s="61">
        <f t="shared" si="34"/>
        <v>0.12350910685860325</v>
      </c>
      <c r="AL14" s="61">
        <f t="shared" si="34"/>
        <v>0.12544713798873616</v>
      </c>
      <c r="AM14" s="61">
        <f t="shared" si="34"/>
        <v>0.12004901512954283</v>
      </c>
      <c r="AN14" s="61">
        <f t="shared" si="34"/>
        <v>0.12004901512954283</v>
      </c>
      <c r="AO14" s="61">
        <f t="shared" si="34"/>
        <v>0.12149538812195197</v>
      </c>
      <c r="AP14" s="61">
        <f t="shared" si="34"/>
        <v>0.12149538812195197</v>
      </c>
      <c r="AQ14" s="61">
        <f t="shared" si="34"/>
        <v>0.12149538812195197</v>
      </c>
      <c r="AR14" s="61">
        <f t="shared" si="34"/>
        <v>0.10171027787834118</v>
      </c>
      <c r="AS14" s="61">
        <f t="shared" si="34"/>
        <v>0.12217415265245021</v>
      </c>
      <c r="AT14" s="61">
        <f t="shared" si="34"/>
        <v>0.12217415265245021</v>
      </c>
      <c r="AU14" s="61">
        <f t="shared" si="34"/>
        <v>0.12217415265245021</v>
      </c>
      <c r="AV14" s="61">
        <f t="shared" si="34"/>
        <v>0.12162590529519454</v>
      </c>
      <c r="AW14" s="61">
        <f t="shared" si="34"/>
        <v>0.12445162861674446</v>
      </c>
      <c r="AX14" s="61">
        <f t="shared" si="34"/>
        <v>0.12445162861674446</v>
      </c>
      <c r="AY14" s="61">
        <f t="shared" si="34"/>
        <v>0.12445162861674446</v>
      </c>
      <c r="AZ14" s="61">
        <f t="shared" si="34"/>
        <v>0.10926280791330772</v>
      </c>
      <c r="BA14" s="61">
        <f t="shared" si="34"/>
        <v>0.10926280791330772</v>
      </c>
      <c r="BB14" s="61">
        <f t="shared" si="34"/>
        <v>0.12200753137019156</v>
      </c>
      <c r="BC14" s="61">
        <f t="shared" si="34"/>
        <v>0.1218152310365446</v>
      </c>
      <c r="BD14" s="61">
        <f t="shared" si="34"/>
        <v>0.12054840350825978</v>
      </c>
      <c r="BE14" s="61">
        <f t="shared" si="34"/>
        <v>0.11957250723000111</v>
      </c>
      <c r="BF14" s="61">
        <f t="shared" si="34"/>
        <v>0.11957250723000111</v>
      </c>
      <c r="BG14" s="61">
        <f t="shared" si="34"/>
        <v>0.10827853156670388</v>
      </c>
      <c r="BH14" s="61">
        <f t="shared" si="34"/>
        <v>0.11653002965287285</v>
      </c>
      <c r="BI14" s="61">
        <f t="shared" si="34"/>
        <v>0.11653002965287285</v>
      </c>
      <c r="BJ14" s="61">
        <f t="shared" si="34"/>
        <v>0.11172081567709123</v>
      </c>
      <c r="BK14" s="61">
        <f t="shared" si="34"/>
        <v>0.11172081567709123</v>
      </c>
      <c r="BL14" s="61">
        <f t="shared" si="34"/>
        <v>0.1145024017720556</v>
      </c>
      <c r="BM14" s="61">
        <f t="shared" si="34"/>
        <v>0.11492206668890052</v>
      </c>
      <c r="BN14" s="61">
        <f t="shared" si="34"/>
        <v>0.11181242726424828</v>
      </c>
      <c r="BO14" s="61">
        <f t="shared" si="34"/>
        <v>0.11187295700642612</v>
      </c>
      <c r="BP14" s="61">
        <f t="shared" si="34"/>
        <v>0.12342537693869565</v>
      </c>
      <c r="BQ14" s="61">
        <f t="shared" ref="BQ14:CV14" si="35">((BQ29-BQ$30)/BQ$30*BQ$31+1)*$B$29/SUM($B$18:$B$29)</f>
        <v>0.12342537693869565</v>
      </c>
      <c r="BR14" s="61">
        <f t="shared" si="35"/>
        <v>0.11612757817287388</v>
      </c>
      <c r="BS14" s="61">
        <f t="shared" si="35"/>
        <v>0.11598288671762387</v>
      </c>
      <c r="BT14" s="61">
        <f t="shared" si="35"/>
        <v>0.11802131294130046</v>
      </c>
      <c r="BU14" s="61">
        <f t="shared" si="35"/>
        <v>0.11904041916710179</v>
      </c>
      <c r="BV14" s="61">
        <f t="shared" si="35"/>
        <v>0.11608918672830196</v>
      </c>
      <c r="BW14" s="61">
        <f t="shared" si="35"/>
        <v>0.11608918672830196</v>
      </c>
      <c r="BX14" s="61">
        <f t="shared" si="35"/>
        <v>0.11857068241618797</v>
      </c>
      <c r="BY14" s="61">
        <f t="shared" si="35"/>
        <v>0.11521384973489603</v>
      </c>
      <c r="BZ14" s="61">
        <f t="shared" si="35"/>
        <v>9.4320070132103556E-2</v>
      </c>
      <c r="CA14" s="61">
        <f t="shared" si="35"/>
        <v>0.11569448599062086</v>
      </c>
      <c r="CB14" s="61">
        <f t="shared" si="35"/>
        <v>0.11978342380264172</v>
      </c>
      <c r="CC14" s="61">
        <f t="shared" si="35"/>
        <v>0.11238662999149672</v>
      </c>
      <c r="CD14" s="61">
        <f t="shared" si="35"/>
        <v>0.11884819749605519</v>
      </c>
      <c r="CE14" s="61">
        <f t="shared" si="35"/>
        <v>0.11335968118123445</v>
      </c>
      <c r="CF14" s="61">
        <f t="shared" si="35"/>
        <v>0.11730874740147246</v>
      </c>
      <c r="CG14" s="61">
        <f t="shared" si="35"/>
        <v>0.11576126992292537</v>
      </c>
      <c r="CH14" s="61">
        <f t="shared" si="35"/>
        <v>0.11138679727953539</v>
      </c>
      <c r="CI14" s="61">
        <f t="shared" si="35"/>
        <v>0.10947665366762836</v>
      </c>
      <c r="CJ14" s="61">
        <f t="shared" si="35"/>
        <v>0.10941511914517217</v>
      </c>
      <c r="CK14" s="61">
        <f t="shared" si="35"/>
        <v>0.11311933957081051</v>
      </c>
      <c r="CL14" s="61">
        <f t="shared" si="35"/>
        <v>0.11587779745934593</v>
      </c>
      <c r="CM14" s="61">
        <f t="shared" si="35"/>
        <v>0.11587779745934593</v>
      </c>
      <c r="CN14" s="61">
        <f t="shared" si="35"/>
        <v>0.10926280791330772</v>
      </c>
      <c r="CO14" s="61">
        <f t="shared" si="35"/>
        <v>0.10926280791330772</v>
      </c>
      <c r="CP14" s="61">
        <v>4.8504674122536742E-2</v>
      </c>
      <c r="CQ14" s="61">
        <v>4.0195817237245239E-2</v>
      </c>
      <c r="CR14" s="61" t="s">
        <v>47</v>
      </c>
      <c r="CS14" s="61">
        <f t="shared" si="35"/>
        <v>0.10782006958038616</v>
      </c>
      <c r="CT14" s="61">
        <f t="shared" si="35"/>
        <v>0.1084388736629071</v>
      </c>
      <c r="CU14" s="61">
        <f t="shared" si="35"/>
        <v>0.11365212754042722</v>
      </c>
      <c r="CV14" s="61">
        <f t="shared" si="35"/>
        <v>0.11581313284022927</v>
      </c>
      <c r="CW14" s="214">
        <v>2.7869999999999999E-2</v>
      </c>
      <c r="CX14" s="214">
        <v>3.7010000000000001E-2</v>
      </c>
      <c r="CY14" s="61">
        <f t="shared" ref="CY14" si="36">((CY29-CY$30)/CY$30*CY$31+1)*$B$29/SUM($B$18:$B$29)</f>
        <v>0.11228691032980721</v>
      </c>
      <c r="CZ14" s="61">
        <f>((CZ29-CZ$30)/CZ$30*CZ$31+1)*$B$29/SUM($B$18:$B$29)</f>
        <v>0.10257462732121893</v>
      </c>
      <c r="DA14" s="61">
        <v>0.12</v>
      </c>
      <c r="DB14" s="62">
        <v>0.11899999999999999</v>
      </c>
      <c r="DC14" s="61">
        <v>0.12</v>
      </c>
      <c r="DD14" s="61">
        <v>0.126</v>
      </c>
    </row>
    <row r="15" spans="3:108" x14ac:dyDescent="0.35">
      <c r="D15" s="58"/>
      <c r="E15" s="59"/>
      <c r="F15" s="60"/>
      <c r="CP15" s="209"/>
      <c r="CQ15" s="209"/>
      <c r="DC15" s="61"/>
    </row>
    <row r="16" spans="3:108" x14ac:dyDescent="0.35">
      <c r="D16" s="59"/>
      <c r="E16" s="59"/>
    </row>
    <row r="17" spans="2:108" x14ac:dyDescent="0.35">
      <c r="B17" t="s">
        <v>276</v>
      </c>
      <c r="C17" t="s">
        <v>277</v>
      </c>
    </row>
    <row r="18" spans="2:108" x14ac:dyDescent="0.35">
      <c r="B18">
        <v>31</v>
      </c>
      <c r="C18" s="63" t="s">
        <v>264</v>
      </c>
      <c r="D18">
        <v>7.7729999999999997</v>
      </c>
      <c r="E18">
        <v>7.7729999999999997</v>
      </c>
      <c r="F18">
        <v>9.2759999999999998</v>
      </c>
      <c r="G18">
        <v>9.39</v>
      </c>
      <c r="H18">
        <v>7.423</v>
      </c>
      <c r="I18">
        <v>7.423</v>
      </c>
      <c r="J18">
        <v>7.423</v>
      </c>
      <c r="K18">
        <v>7.423</v>
      </c>
      <c r="L18">
        <v>10.093</v>
      </c>
      <c r="M18">
        <v>10.093</v>
      </c>
      <c r="N18">
        <v>10.093</v>
      </c>
      <c r="O18">
        <v>10.076000000000001</v>
      </c>
      <c r="P18">
        <v>7.992</v>
      </c>
      <c r="Q18">
        <v>9.548</v>
      </c>
      <c r="R18">
        <v>8.9760000000000009</v>
      </c>
      <c r="S18">
        <v>8.9760000000000009</v>
      </c>
      <c r="T18">
        <v>8.9760000000000009</v>
      </c>
      <c r="U18">
        <v>7.9939999999999998</v>
      </c>
      <c r="V18">
        <v>9.1419999999999995</v>
      </c>
      <c r="W18">
        <v>9.1419999999999995</v>
      </c>
      <c r="X18">
        <v>9.1419999999999995</v>
      </c>
      <c r="Y18">
        <v>9.1419999999999995</v>
      </c>
      <c r="Z18">
        <v>9.0909999999999993</v>
      </c>
      <c r="AA18">
        <v>7.8220000000000001</v>
      </c>
      <c r="AB18">
        <v>7.8220000000000001</v>
      </c>
      <c r="AC18">
        <v>7.8220000000000001</v>
      </c>
      <c r="AD18">
        <v>7.8220000000000001</v>
      </c>
      <c r="AE18">
        <v>8.9139999999999997</v>
      </c>
      <c r="AF18">
        <v>8.9139999999999997</v>
      </c>
      <c r="AG18">
        <v>8.27</v>
      </c>
      <c r="AH18">
        <v>8.27</v>
      </c>
      <c r="AI18">
        <v>7.3630000000000004</v>
      </c>
      <c r="AJ18">
        <v>9.6010000000000009</v>
      </c>
      <c r="AK18">
        <v>9.1310000000000002</v>
      </c>
      <c r="AL18">
        <v>8.0410000000000004</v>
      </c>
      <c r="AM18">
        <v>8.2080000000000002</v>
      </c>
      <c r="AN18">
        <v>8.2080000000000002</v>
      </c>
      <c r="AO18">
        <v>8.02</v>
      </c>
      <c r="AP18">
        <v>8.02</v>
      </c>
      <c r="AQ18">
        <v>8.02</v>
      </c>
      <c r="AR18">
        <v>7.6459999999999999</v>
      </c>
      <c r="AS18">
        <v>7.8390000000000004</v>
      </c>
      <c r="AT18">
        <v>7.8390000000000004</v>
      </c>
      <c r="AU18">
        <v>7.8390000000000004</v>
      </c>
      <c r="AV18">
        <v>7.89</v>
      </c>
      <c r="AW18">
        <v>8.2750000000000004</v>
      </c>
      <c r="AX18">
        <v>8.2750000000000004</v>
      </c>
      <c r="AY18">
        <v>8.2750000000000004</v>
      </c>
      <c r="AZ18">
        <v>9.7870000000000008</v>
      </c>
      <c r="BA18">
        <v>9.7870000000000008</v>
      </c>
      <c r="BB18">
        <v>7.9980000000000002</v>
      </c>
      <c r="BC18">
        <v>8.02</v>
      </c>
      <c r="BD18">
        <v>5.2009999999999996</v>
      </c>
      <c r="BE18">
        <v>7.8289999999999997</v>
      </c>
      <c r="BF18">
        <v>7.8289999999999997</v>
      </c>
      <c r="BG18">
        <v>8.1059999999999999</v>
      </c>
      <c r="BH18">
        <v>8.6419999999999995</v>
      </c>
      <c r="BI18">
        <v>8.6419999999999995</v>
      </c>
      <c r="BJ18">
        <v>8.6850000000000005</v>
      </c>
      <c r="BK18">
        <v>8.6850000000000005</v>
      </c>
      <c r="BL18">
        <v>8.6639999999999997</v>
      </c>
      <c r="BM18">
        <v>8.6639999999999997</v>
      </c>
      <c r="BN18">
        <v>8.577</v>
      </c>
      <c r="BO18">
        <v>7.9109999999999996</v>
      </c>
      <c r="BP18">
        <v>8.1240000000000006</v>
      </c>
      <c r="BQ18">
        <v>8.1240000000000006</v>
      </c>
      <c r="BR18">
        <v>8.07</v>
      </c>
      <c r="BS18">
        <v>8.048</v>
      </c>
      <c r="BT18">
        <v>8.3819999999999997</v>
      </c>
      <c r="BU18">
        <v>9.0980000000000008</v>
      </c>
      <c r="BV18">
        <v>9.0739999999999998</v>
      </c>
      <c r="BW18">
        <v>9.0739999999999998</v>
      </c>
      <c r="BX18">
        <v>8.7010000000000005</v>
      </c>
      <c r="BY18">
        <v>8.4440000000000008</v>
      </c>
      <c r="BZ18">
        <v>8.9369999999999994</v>
      </c>
      <c r="CA18">
        <v>7.6929999999999996</v>
      </c>
      <c r="CB18">
        <v>7.8070000000000004</v>
      </c>
      <c r="CC18">
        <v>7.5880000000000001</v>
      </c>
      <c r="CD18">
        <v>8.0250000000000004</v>
      </c>
      <c r="CE18">
        <v>7.9850000000000003</v>
      </c>
      <c r="CF18">
        <v>7.7960000000000003</v>
      </c>
      <c r="CG18">
        <v>7.9939999999999998</v>
      </c>
      <c r="CH18">
        <v>8.4540000000000006</v>
      </c>
      <c r="CI18">
        <v>8.2859999999999996</v>
      </c>
      <c r="CJ18">
        <v>8.6270000000000007</v>
      </c>
      <c r="CK18">
        <v>8.6270000000000007</v>
      </c>
      <c r="CL18">
        <v>8.5719999999999992</v>
      </c>
      <c r="CM18">
        <v>8.5719999999999992</v>
      </c>
      <c r="CN18">
        <v>9.7870000000000008</v>
      </c>
      <c r="CO18">
        <v>9.7870000000000008</v>
      </c>
      <c r="CS18">
        <v>10.093</v>
      </c>
      <c r="CT18">
        <v>7.89</v>
      </c>
      <c r="CU18">
        <v>8.593</v>
      </c>
      <c r="CV18">
        <v>8.2460000000000004</v>
      </c>
      <c r="CY18">
        <v>8.4459999999999997</v>
      </c>
      <c r="CZ18" s="56">
        <v>7.0732518337408337</v>
      </c>
    </row>
    <row r="19" spans="2:108" x14ac:dyDescent="0.35">
      <c r="B19">
        <v>28.25</v>
      </c>
      <c r="C19" s="63" t="s">
        <v>265</v>
      </c>
      <c r="D19">
        <v>7.819</v>
      </c>
      <c r="E19">
        <v>7.819</v>
      </c>
      <c r="F19">
        <v>8.6470000000000002</v>
      </c>
      <c r="G19">
        <v>8.7330000000000005</v>
      </c>
      <c r="H19">
        <v>7.2380000000000004</v>
      </c>
      <c r="I19">
        <v>7.2380000000000004</v>
      </c>
      <c r="J19">
        <v>7.2380000000000004</v>
      </c>
      <c r="K19">
        <v>7.2380000000000004</v>
      </c>
      <c r="L19">
        <v>9.9830000000000005</v>
      </c>
      <c r="M19">
        <v>9.9830000000000005</v>
      </c>
      <c r="N19">
        <v>9.9830000000000005</v>
      </c>
      <c r="O19">
        <v>9.5329999999999995</v>
      </c>
      <c r="P19">
        <v>7.9829999999999997</v>
      </c>
      <c r="Q19">
        <v>8.8780000000000001</v>
      </c>
      <c r="R19">
        <v>8.52</v>
      </c>
      <c r="S19">
        <v>8.52</v>
      </c>
      <c r="T19">
        <v>8.52</v>
      </c>
      <c r="U19">
        <v>7.7320000000000002</v>
      </c>
      <c r="V19">
        <v>8.5820000000000007</v>
      </c>
      <c r="W19">
        <v>8.5820000000000007</v>
      </c>
      <c r="X19">
        <v>8.5820000000000007</v>
      </c>
      <c r="Y19">
        <v>8.5820000000000007</v>
      </c>
      <c r="Z19">
        <v>8.4890000000000008</v>
      </c>
      <c r="AA19">
        <v>7.5739999999999998</v>
      </c>
      <c r="AB19">
        <v>7.5739999999999998</v>
      </c>
      <c r="AC19">
        <v>7.5739999999999998</v>
      </c>
      <c r="AD19">
        <v>7.5739999999999998</v>
      </c>
      <c r="AE19">
        <v>8.3699999999999992</v>
      </c>
      <c r="AF19">
        <v>8.3699999999999992</v>
      </c>
      <c r="AG19">
        <v>7.8630000000000004</v>
      </c>
      <c r="AH19">
        <v>7.8630000000000004</v>
      </c>
      <c r="AI19">
        <v>7.423</v>
      </c>
      <c r="AJ19">
        <v>9.06</v>
      </c>
      <c r="AK19">
        <v>8.7149999999999999</v>
      </c>
      <c r="AL19">
        <v>7.6379999999999999</v>
      </c>
      <c r="AM19">
        <v>7.9320000000000004</v>
      </c>
      <c r="AN19">
        <v>7.9320000000000004</v>
      </c>
      <c r="AO19">
        <v>7.6159999999999997</v>
      </c>
      <c r="AP19">
        <v>7.6159999999999997</v>
      </c>
      <c r="AQ19">
        <v>7.6159999999999997</v>
      </c>
      <c r="AR19">
        <v>7.569</v>
      </c>
      <c r="AS19">
        <v>7.5570000000000004</v>
      </c>
      <c r="AT19">
        <v>7.5570000000000004</v>
      </c>
      <c r="AU19">
        <v>7.5570000000000004</v>
      </c>
      <c r="AV19">
        <v>7.5339999999999998</v>
      </c>
      <c r="AW19">
        <v>8.0570000000000004</v>
      </c>
      <c r="AX19">
        <v>8.0570000000000004</v>
      </c>
      <c r="AY19">
        <v>8.0570000000000004</v>
      </c>
      <c r="AZ19">
        <v>9.6590000000000007</v>
      </c>
      <c r="BA19">
        <v>9.6590000000000007</v>
      </c>
      <c r="BB19">
        <v>7.6319999999999997</v>
      </c>
      <c r="BC19">
        <v>7.6159999999999997</v>
      </c>
      <c r="BD19">
        <v>4.8780000000000001</v>
      </c>
      <c r="BE19">
        <v>7.548</v>
      </c>
      <c r="BF19">
        <v>7.548</v>
      </c>
      <c r="BG19">
        <v>7.7229999999999999</v>
      </c>
      <c r="BH19">
        <v>8.1310000000000002</v>
      </c>
      <c r="BI19">
        <v>8.1310000000000002</v>
      </c>
      <c r="BJ19">
        <v>8.1720000000000006</v>
      </c>
      <c r="BK19">
        <v>8.1720000000000006</v>
      </c>
      <c r="BL19">
        <v>8.1010000000000009</v>
      </c>
      <c r="BM19">
        <v>8.173</v>
      </c>
      <c r="BN19">
        <v>8.1240000000000006</v>
      </c>
      <c r="BO19">
        <v>7.8470000000000004</v>
      </c>
      <c r="BP19">
        <v>7.6740000000000004</v>
      </c>
      <c r="BQ19">
        <v>7.6740000000000004</v>
      </c>
      <c r="BR19">
        <v>7.8</v>
      </c>
      <c r="BS19">
        <v>7.7850000000000001</v>
      </c>
      <c r="BT19">
        <v>7.9269999999999996</v>
      </c>
      <c r="BU19">
        <v>8.5790000000000006</v>
      </c>
      <c r="BV19">
        <v>8.5359999999999996</v>
      </c>
      <c r="BW19">
        <v>8.5359999999999996</v>
      </c>
      <c r="BX19">
        <v>8.2010000000000005</v>
      </c>
      <c r="BY19">
        <v>8.0559999999999992</v>
      </c>
      <c r="BZ19">
        <v>9.0779999999999994</v>
      </c>
      <c r="CA19">
        <v>7.4509999999999996</v>
      </c>
      <c r="CB19">
        <v>7.4740000000000002</v>
      </c>
      <c r="CC19">
        <v>7.423</v>
      </c>
      <c r="CD19">
        <v>7.6420000000000003</v>
      </c>
      <c r="CE19">
        <v>7.6210000000000004</v>
      </c>
      <c r="CF19">
        <v>7.8010000000000002</v>
      </c>
      <c r="CG19">
        <v>7.6349999999999998</v>
      </c>
      <c r="CH19">
        <v>8.0890000000000004</v>
      </c>
      <c r="CI19">
        <v>7.85</v>
      </c>
      <c r="CJ19">
        <v>8.1180000000000003</v>
      </c>
      <c r="CK19">
        <v>8.1110000000000007</v>
      </c>
      <c r="CL19">
        <v>8.0839999999999996</v>
      </c>
      <c r="CM19">
        <v>8.0839999999999996</v>
      </c>
      <c r="CN19">
        <v>9.6590000000000007</v>
      </c>
      <c r="CO19">
        <v>9.6590000000000007</v>
      </c>
      <c r="CS19">
        <v>9.9830000000000005</v>
      </c>
      <c r="CT19">
        <v>7.556</v>
      </c>
      <c r="CU19">
        <v>8.1319999999999997</v>
      </c>
      <c r="CV19">
        <v>7.7770000000000001</v>
      </c>
      <c r="CY19">
        <v>8.3089999999999993</v>
      </c>
      <c r="CZ19" s="56">
        <v>6.932698494402266</v>
      </c>
    </row>
    <row r="20" spans="2:108" x14ac:dyDescent="0.35">
      <c r="B20">
        <v>31</v>
      </c>
      <c r="C20" s="63" t="s">
        <v>266</v>
      </c>
      <c r="D20">
        <v>7.9059999999999997</v>
      </c>
      <c r="E20">
        <v>7.9059999999999997</v>
      </c>
      <c r="F20">
        <v>7.9729999999999999</v>
      </c>
      <c r="G20">
        <v>8.0399999999999991</v>
      </c>
      <c r="H20">
        <v>6.9329999999999998</v>
      </c>
      <c r="I20">
        <v>6.9329999999999998</v>
      </c>
      <c r="J20">
        <v>6.9329999999999998</v>
      </c>
      <c r="K20">
        <v>6.9329999999999998</v>
      </c>
      <c r="L20">
        <v>9.3390000000000004</v>
      </c>
      <c r="M20">
        <v>9.3390000000000004</v>
      </c>
      <c r="N20">
        <v>9.3390000000000004</v>
      </c>
      <c r="O20">
        <v>8.6829999999999998</v>
      </c>
      <c r="P20">
        <v>7.7069999999999999</v>
      </c>
      <c r="Q20">
        <v>8.1560000000000006</v>
      </c>
      <c r="R20">
        <v>7.9480000000000004</v>
      </c>
      <c r="S20">
        <v>7.9480000000000004</v>
      </c>
      <c r="T20">
        <v>7.9480000000000004</v>
      </c>
      <c r="U20">
        <v>7.2670000000000003</v>
      </c>
      <c r="V20">
        <v>7.9279999999999999</v>
      </c>
      <c r="W20">
        <v>7.9279999999999999</v>
      </c>
      <c r="X20">
        <v>7.9279999999999999</v>
      </c>
      <c r="Y20">
        <v>7.9279999999999999</v>
      </c>
      <c r="Z20">
        <v>7.9</v>
      </c>
      <c r="AA20">
        <v>7.173</v>
      </c>
      <c r="AB20">
        <v>7.173</v>
      </c>
      <c r="AC20">
        <v>7.173</v>
      </c>
      <c r="AD20">
        <v>7.173</v>
      </c>
      <c r="AE20">
        <v>7.8220000000000001</v>
      </c>
      <c r="AF20">
        <v>7.8220000000000001</v>
      </c>
      <c r="AG20">
        <v>7.37</v>
      </c>
      <c r="AH20">
        <v>7.37</v>
      </c>
      <c r="AI20">
        <v>7.4909999999999997</v>
      </c>
      <c r="AJ20">
        <v>8.3010000000000002</v>
      </c>
      <c r="AK20">
        <v>8.1110000000000007</v>
      </c>
      <c r="AL20">
        <v>7.32</v>
      </c>
      <c r="AM20">
        <v>7.468</v>
      </c>
      <c r="AN20">
        <v>7.468</v>
      </c>
      <c r="AO20">
        <v>7.2409999999999997</v>
      </c>
      <c r="AP20">
        <v>7.2409999999999997</v>
      </c>
      <c r="AQ20">
        <v>7.2409999999999997</v>
      </c>
      <c r="AR20">
        <v>7.6340000000000003</v>
      </c>
      <c r="AS20">
        <v>7.3079999999999998</v>
      </c>
      <c r="AT20">
        <v>7.3079999999999998</v>
      </c>
      <c r="AU20">
        <v>7.3079999999999998</v>
      </c>
      <c r="AV20">
        <v>7.1120000000000001</v>
      </c>
      <c r="AW20">
        <v>7.4889999999999999</v>
      </c>
      <c r="AX20">
        <v>7.4889999999999999</v>
      </c>
      <c r="AY20">
        <v>7.4889999999999999</v>
      </c>
      <c r="AZ20">
        <v>9.1969999999999992</v>
      </c>
      <c r="BA20">
        <v>9.1969999999999992</v>
      </c>
      <c r="BB20">
        <v>7.2229999999999999</v>
      </c>
      <c r="BC20">
        <v>7.2409999999999997</v>
      </c>
      <c r="BD20">
        <v>4.4539999999999997</v>
      </c>
      <c r="BE20">
        <v>7.0620000000000003</v>
      </c>
      <c r="BF20">
        <v>7.0620000000000003</v>
      </c>
      <c r="BG20">
        <v>7.2930000000000001</v>
      </c>
      <c r="BH20">
        <v>7.5979999999999999</v>
      </c>
      <c r="BI20">
        <v>7.5979999999999999</v>
      </c>
      <c r="BJ20">
        <v>7.58</v>
      </c>
      <c r="BK20">
        <v>7.58</v>
      </c>
      <c r="BL20">
        <v>7.516</v>
      </c>
      <c r="BM20">
        <v>7.625</v>
      </c>
      <c r="BN20">
        <v>7.633</v>
      </c>
      <c r="BO20">
        <v>7.4480000000000004</v>
      </c>
      <c r="BP20">
        <v>7.3220000000000001</v>
      </c>
      <c r="BQ20">
        <v>7.3220000000000001</v>
      </c>
      <c r="BR20">
        <v>7.3129999999999997</v>
      </c>
      <c r="BS20">
        <v>7.3049999999999997</v>
      </c>
      <c r="BT20">
        <v>7.1859999999999999</v>
      </c>
      <c r="BU20">
        <v>7.8689999999999998</v>
      </c>
      <c r="BV20">
        <v>7.9029999999999996</v>
      </c>
      <c r="BW20">
        <v>7.9029999999999996</v>
      </c>
      <c r="BX20">
        <v>7.59</v>
      </c>
      <c r="BY20">
        <v>7.53</v>
      </c>
      <c r="BZ20">
        <v>8.52</v>
      </c>
      <c r="CA20">
        <v>7.2080000000000002</v>
      </c>
      <c r="CB20">
        <v>7.09</v>
      </c>
      <c r="CC20">
        <v>7.2140000000000004</v>
      </c>
      <c r="CD20">
        <v>7.3360000000000003</v>
      </c>
      <c r="CE20">
        <v>7.3390000000000004</v>
      </c>
      <c r="CF20">
        <v>7.4279999999999999</v>
      </c>
      <c r="CG20">
        <v>7.3620000000000001</v>
      </c>
      <c r="CH20">
        <v>7.5910000000000002</v>
      </c>
      <c r="CI20">
        <v>7.3659999999999997</v>
      </c>
      <c r="CJ20">
        <v>7.5949999999999998</v>
      </c>
      <c r="CK20">
        <v>7.532</v>
      </c>
      <c r="CL20">
        <v>7.58</v>
      </c>
      <c r="CM20">
        <v>7.58</v>
      </c>
      <c r="CN20">
        <v>9.1969999999999992</v>
      </c>
      <c r="CO20">
        <v>9.1969999999999992</v>
      </c>
      <c r="CS20">
        <v>9.3390000000000004</v>
      </c>
      <c r="CT20">
        <v>7.2670000000000003</v>
      </c>
      <c r="CU20">
        <v>7.6260000000000003</v>
      </c>
      <c r="CV20">
        <v>7.4829999999999997</v>
      </c>
      <c r="CY20">
        <v>7.7949999999999999</v>
      </c>
      <c r="CZ20" s="56">
        <v>7.3999433792304741</v>
      </c>
    </row>
    <row r="21" spans="2:108" x14ac:dyDescent="0.35">
      <c r="B21">
        <v>30</v>
      </c>
      <c r="C21" s="63" t="s">
        <v>267</v>
      </c>
      <c r="D21">
        <v>7.6059999999999999</v>
      </c>
      <c r="E21">
        <v>7.6059999999999999</v>
      </c>
      <c r="F21">
        <v>7.0650000000000004</v>
      </c>
      <c r="G21">
        <v>7.093</v>
      </c>
      <c r="H21">
        <v>6.6669999999999998</v>
      </c>
      <c r="I21">
        <v>6.6669999999999998</v>
      </c>
      <c r="J21">
        <v>6.6669999999999998</v>
      </c>
      <c r="K21">
        <v>6.6669999999999998</v>
      </c>
      <c r="L21">
        <v>8.6739999999999995</v>
      </c>
      <c r="M21">
        <v>8.6739999999999995</v>
      </c>
      <c r="N21">
        <v>8.6739999999999995</v>
      </c>
      <c r="O21">
        <v>8.1129999999999995</v>
      </c>
      <c r="P21">
        <v>7.5369999999999999</v>
      </c>
      <c r="Q21">
        <v>7.1959999999999997</v>
      </c>
      <c r="R21">
        <v>7.2220000000000004</v>
      </c>
      <c r="S21">
        <v>7.2220000000000004</v>
      </c>
      <c r="T21">
        <v>7.2220000000000004</v>
      </c>
      <c r="U21">
        <v>6.8120000000000003</v>
      </c>
      <c r="V21">
        <v>7.0990000000000002</v>
      </c>
      <c r="W21">
        <v>7.0990000000000002</v>
      </c>
      <c r="X21">
        <v>7.0990000000000002</v>
      </c>
      <c r="Y21">
        <v>7.0990000000000002</v>
      </c>
      <c r="Z21">
        <v>6.9989999999999997</v>
      </c>
      <c r="AA21">
        <v>6.8380000000000001</v>
      </c>
      <c r="AB21">
        <v>6.8380000000000001</v>
      </c>
      <c r="AC21">
        <v>6.8380000000000001</v>
      </c>
      <c r="AD21">
        <v>6.8380000000000001</v>
      </c>
      <c r="AE21">
        <v>7.0629999999999997</v>
      </c>
      <c r="AF21">
        <v>7.0629999999999997</v>
      </c>
      <c r="AG21">
        <v>6.7359999999999998</v>
      </c>
      <c r="AH21">
        <v>6.7359999999999998</v>
      </c>
      <c r="AI21">
        <v>7.1609999999999996</v>
      </c>
      <c r="AJ21">
        <v>7.65</v>
      </c>
      <c r="AK21">
        <v>7.6349999999999998</v>
      </c>
      <c r="AL21">
        <v>6.742</v>
      </c>
      <c r="AM21">
        <v>7.0430000000000001</v>
      </c>
      <c r="AN21">
        <v>7.0430000000000001</v>
      </c>
      <c r="AO21">
        <v>6.758</v>
      </c>
      <c r="AP21">
        <v>6.758</v>
      </c>
      <c r="AQ21">
        <v>6.758</v>
      </c>
      <c r="AR21">
        <v>7.5650000000000004</v>
      </c>
      <c r="AS21">
        <v>6.8259999999999996</v>
      </c>
      <c r="AT21">
        <v>6.8259999999999996</v>
      </c>
      <c r="AU21">
        <v>6.8259999999999996</v>
      </c>
      <c r="AV21">
        <v>6.59</v>
      </c>
      <c r="AW21">
        <v>7.06</v>
      </c>
      <c r="AX21">
        <v>7.06</v>
      </c>
      <c r="AY21">
        <v>7.06</v>
      </c>
      <c r="AZ21">
        <v>8.6750000000000007</v>
      </c>
      <c r="BA21">
        <v>8.6750000000000007</v>
      </c>
      <c r="BB21">
        <v>6.742</v>
      </c>
      <c r="BC21">
        <v>6.758</v>
      </c>
      <c r="BD21">
        <v>3.93</v>
      </c>
      <c r="BE21">
        <v>6.633</v>
      </c>
      <c r="BF21">
        <v>6.633</v>
      </c>
      <c r="BG21">
        <v>6.7030000000000003</v>
      </c>
      <c r="BH21">
        <v>6.9420000000000002</v>
      </c>
      <c r="BI21">
        <v>6.9420000000000002</v>
      </c>
      <c r="BJ21">
        <v>6.8630000000000004</v>
      </c>
      <c r="BK21">
        <v>6.8630000000000004</v>
      </c>
      <c r="BL21">
        <v>6.8150000000000004</v>
      </c>
      <c r="BM21">
        <v>6.9610000000000003</v>
      </c>
      <c r="BN21">
        <v>6.9829999999999997</v>
      </c>
      <c r="BO21">
        <v>7.0960000000000001</v>
      </c>
      <c r="BP21">
        <v>6.742</v>
      </c>
      <c r="BQ21">
        <v>6.742</v>
      </c>
      <c r="BR21">
        <v>6.8479999999999999</v>
      </c>
      <c r="BS21">
        <v>6.8449999999999998</v>
      </c>
      <c r="BT21">
        <v>6.5709999999999997</v>
      </c>
      <c r="BU21">
        <v>7.109</v>
      </c>
      <c r="BV21">
        <v>7.125</v>
      </c>
      <c r="BW21">
        <v>7.125</v>
      </c>
      <c r="BX21">
        <v>6.827</v>
      </c>
      <c r="BY21">
        <v>6.8929999999999998</v>
      </c>
      <c r="BZ21">
        <v>8.4339999999999993</v>
      </c>
      <c r="CA21">
        <v>6.7370000000000001</v>
      </c>
      <c r="CB21">
        <v>6.6260000000000003</v>
      </c>
      <c r="CC21">
        <v>6.8310000000000004</v>
      </c>
      <c r="CD21">
        <v>6.5750000000000002</v>
      </c>
      <c r="CE21">
        <v>6.6040000000000001</v>
      </c>
      <c r="CF21">
        <v>6.5190000000000001</v>
      </c>
      <c r="CG21">
        <v>6.6219999999999999</v>
      </c>
      <c r="CH21">
        <v>6.9690000000000003</v>
      </c>
      <c r="CI21">
        <v>6.7169999999999996</v>
      </c>
      <c r="CJ21">
        <v>6.9409999999999998</v>
      </c>
      <c r="CK21">
        <v>6.8550000000000004</v>
      </c>
      <c r="CL21">
        <v>6.9429999999999996</v>
      </c>
      <c r="CM21">
        <v>6.9429999999999996</v>
      </c>
      <c r="CN21">
        <v>8.6750000000000007</v>
      </c>
      <c r="CO21">
        <v>8.6750000000000007</v>
      </c>
      <c r="CS21">
        <v>8.6739999999999995</v>
      </c>
      <c r="CT21">
        <v>6.6970000000000001</v>
      </c>
      <c r="CU21">
        <v>6.9790000000000001</v>
      </c>
      <c r="CV21">
        <v>6.4279999999999999</v>
      </c>
      <c r="CY21">
        <v>6.9329999999999998</v>
      </c>
      <c r="CZ21" s="56">
        <v>5.7626869128812261</v>
      </c>
    </row>
    <row r="22" spans="2:108" x14ac:dyDescent="0.35">
      <c r="B22">
        <v>31</v>
      </c>
      <c r="C22" s="63" t="s">
        <v>268</v>
      </c>
      <c r="D22">
        <v>7.35</v>
      </c>
      <c r="E22">
        <v>7.35</v>
      </c>
      <c r="F22">
        <v>6.8540000000000001</v>
      </c>
      <c r="G22">
        <v>6.89</v>
      </c>
      <c r="H22">
        <v>6.0019999999999998</v>
      </c>
      <c r="I22">
        <v>6.0019999999999998</v>
      </c>
      <c r="J22">
        <v>6.0019999999999998</v>
      </c>
      <c r="K22">
        <v>6.0019999999999998</v>
      </c>
      <c r="L22">
        <v>7.875</v>
      </c>
      <c r="M22">
        <v>7.875</v>
      </c>
      <c r="N22">
        <v>7.875</v>
      </c>
      <c r="O22">
        <v>7.5119999999999996</v>
      </c>
      <c r="P22">
        <v>6.9790000000000001</v>
      </c>
      <c r="Q22">
        <v>6.9870000000000001</v>
      </c>
      <c r="R22">
        <v>7.0259999999999998</v>
      </c>
      <c r="S22">
        <v>7.0259999999999998</v>
      </c>
      <c r="T22">
        <v>7.0259999999999998</v>
      </c>
      <c r="U22">
        <v>6.5069999999999997</v>
      </c>
      <c r="V22">
        <v>6.8840000000000003</v>
      </c>
      <c r="W22">
        <v>6.8840000000000003</v>
      </c>
      <c r="X22">
        <v>6.8840000000000003</v>
      </c>
      <c r="Y22">
        <v>6.8840000000000003</v>
      </c>
      <c r="Z22">
        <v>6.8440000000000003</v>
      </c>
      <c r="AA22">
        <v>6.2869999999999999</v>
      </c>
      <c r="AB22">
        <v>6.2869999999999999</v>
      </c>
      <c r="AC22">
        <v>6.2869999999999999</v>
      </c>
      <c r="AD22">
        <v>6.2869999999999999</v>
      </c>
      <c r="AE22">
        <v>6.87</v>
      </c>
      <c r="AF22">
        <v>6.87</v>
      </c>
      <c r="AG22">
        <v>6.5140000000000002</v>
      </c>
      <c r="AH22">
        <v>6.5140000000000002</v>
      </c>
      <c r="AI22">
        <v>6.843</v>
      </c>
      <c r="AJ22">
        <v>7.1189999999999998</v>
      </c>
      <c r="AK22">
        <v>7.1790000000000003</v>
      </c>
      <c r="AL22">
        <v>6.2549999999999999</v>
      </c>
      <c r="AM22">
        <v>6.65</v>
      </c>
      <c r="AN22">
        <v>6.65</v>
      </c>
      <c r="AO22">
        <v>6.2409999999999997</v>
      </c>
      <c r="AP22">
        <v>6.2409999999999997</v>
      </c>
      <c r="AQ22">
        <v>6.2409999999999997</v>
      </c>
      <c r="AR22">
        <v>7.1230000000000002</v>
      </c>
      <c r="AS22">
        <v>6.266</v>
      </c>
      <c r="AT22">
        <v>6.266</v>
      </c>
      <c r="AU22">
        <v>6.266</v>
      </c>
      <c r="AV22">
        <v>6.1989999999999998</v>
      </c>
      <c r="AW22">
        <v>6.54</v>
      </c>
      <c r="AX22">
        <v>6.54</v>
      </c>
      <c r="AY22">
        <v>6.54</v>
      </c>
      <c r="AZ22">
        <v>7.9359999999999999</v>
      </c>
      <c r="BA22">
        <v>7.9359999999999999</v>
      </c>
      <c r="BB22">
        <v>6.3049999999999997</v>
      </c>
      <c r="BC22">
        <v>6.2409999999999997</v>
      </c>
      <c r="BD22">
        <v>3.891</v>
      </c>
      <c r="BE22">
        <v>6.0460000000000003</v>
      </c>
      <c r="BF22">
        <v>6.0460000000000003</v>
      </c>
      <c r="BG22">
        <v>6.44</v>
      </c>
      <c r="BH22">
        <v>6.6420000000000003</v>
      </c>
      <c r="BI22">
        <v>6.6420000000000003</v>
      </c>
      <c r="BJ22">
        <v>6.6210000000000004</v>
      </c>
      <c r="BK22">
        <v>6.6210000000000004</v>
      </c>
      <c r="BL22">
        <v>6.5179999999999998</v>
      </c>
      <c r="BM22">
        <v>6.6950000000000003</v>
      </c>
      <c r="BN22">
        <v>6.7430000000000003</v>
      </c>
      <c r="BO22">
        <v>6.41</v>
      </c>
      <c r="BP22">
        <v>6.2519999999999998</v>
      </c>
      <c r="BQ22">
        <v>6.2519999999999998</v>
      </c>
      <c r="BR22">
        <v>6.5570000000000004</v>
      </c>
      <c r="BS22">
        <v>6.5510000000000002</v>
      </c>
      <c r="BT22">
        <v>6.2960000000000003</v>
      </c>
      <c r="BU22">
        <v>6.9180000000000001</v>
      </c>
      <c r="BV22">
        <v>6.9139999999999997</v>
      </c>
      <c r="BW22">
        <v>6.9139999999999997</v>
      </c>
      <c r="BX22">
        <v>6.61</v>
      </c>
      <c r="BY22">
        <v>6.68</v>
      </c>
      <c r="BZ22">
        <v>7.8810000000000002</v>
      </c>
      <c r="CA22">
        <v>6.1970000000000001</v>
      </c>
      <c r="CB22">
        <v>6.2110000000000003</v>
      </c>
      <c r="CC22">
        <v>6.2539999999999996</v>
      </c>
      <c r="CD22">
        <v>6.2140000000000004</v>
      </c>
      <c r="CE22">
        <v>6.2270000000000003</v>
      </c>
      <c r="CF22">
        <v>6.0709999999999997</v>
      </c>
      <c r="CG22">
        <v>6.242</v>
      </c>
      <c r="CH22">
        <v>6.7619999999999996</v>
      </c>
      <c r="CI22">
        <v>6.4950000000000001</v>
      </c>
      <c r="CJ22">
        <v>6.6269999999999998</v>
      </c>
      <c r="CK22">
        <v>6.5819999999999999</v>
      </c>
      <c r="CL22">
        <v>6.6289999999999996</v>
      </c>
      <c r="CM22">
        <v>6.6289999999999996</v>
      </c>
      <c r="CN22">
        <v>7.9359999999999999</v>
      </c>
      <c r="CO22">
        <v>7.9359999999999999</v>
      </c>
      <c r="CS22">
        <v>7.875</v>
      </c>
      <c r="CT22">
        <v>6.383</v>
      </c>
      <c r="CU22">
        <v>6.7279999999999998</v>
      </c>
      <c r="CV22">
        <v>6.5209999999999999</v>
      </c>
      <c r="CY22">
        <v>6.718</v>
      </c>
      <c r="CZ22" s="56">
        <v>5.4891777120061782</v>
      </c>
    </row>
    <row r="23" spans="2:108" x14ac:dyDescent="0.35">
      <c r="B23">
        <v>30</v>
      </c>
      <c r="C23" s="63" t="s">
        <v>269</v>
      </c>
      <c r="D23">
        <v>6.4509999999999996</v>
      </c>
      <c r="E23">
        <v>6.4509999999999996</v>
      </c>
      <c r="F23">
        <v>6.383</v>
      </c>
      <c r="G23">
        <v>6.4210000000000003</v>
      </c>
      <c r="H23">
        <v>5.2930000000000001</v>
      </c>
      <c r="I23">
        <v>5.2930000000000001</v>
      </c>
      <c r="J23">
        <v>5.2930000000000001</v>
      </c>
      <c r="K23">
        <v>5.2930000000000001</v>
      </c>
      <c r="L23">
        <v>7.484</v>
      </c>
      <c r="M23">
        <v>7.484</v>
      </c>
      <c r="N23">
        <v>7.484</v>
      </c>
      <c r="O23">
        <v>6.9450000000000003</v>
      </c>
      <c r="P23">
        <v>6.5869999999999997</v>
      </c>
      <c r="Q23">
        <v>6.4939999999999998</v>
      </c>
      <c r="R23">
        <v>6.4720000000000004</v>
      </c>
      <c r="S23">
        <v>6.4720000000000004</v>
      </c>
      <c r="T23">
        <v>6.4720000000000004</v>
      </c>
      <c r="U23">
        <v>6.0129999999999999</v>
      </c>
      <c r="V23">
        <v>6.5</v>
      </c>
      <c r="W23">
        <v>6.5</v>
      </c>
      <c r="X23">
        <v>6.5</v>
      </c>
      <c r="Y23">
        <v>6.5</v>
      </c>
      <c r="Z23">
        <v>6.3609999999999998</v>
      </c>
      <c r="AA23">
        <v>5.8710000000000004</v>
      </c>
      <c r="AB23">
        <v>5.8710000000000004</v>
      </c>
      <c r="AC23">
        <v>5.8710000000000004</v>
      </c>
      <c r="AD23">
        <v>5.8710000000000004</v>
      </c>
      <c r="AE23">
        <v>6.4020000000000001</v>
      </c>
      <c r="AF23">
        <v>6.4020000000000001</v>
      </c>
      <c r="AG23">
        <v>6.0430000000000001</v>
      </c>
      <c r="AH23">
        <v>6.0430000000000001</v>
      </c>
      <c r="AI23">
        <v>5.9960000000000004</v>
      </c>
      <c r="AJ23">
        <v>6.5359999999999996</v>
      </c>
      <c r="AK23">
        <v>6.6420000000000003</v>
      </c>
      <c r="AL23">
        <v>5.774</v>
      </c>
      <c r="AM23">
        <v>6.181</v>
      </c>
      <c r="AN23">
        <v>6.181</v>
      </c>
      <c r="AO23">
        <v>5.7679999999999998</v>
      </c>
      <c r="AP23">
        <v>5.7679999999999998</v>
      </c>
      <c r="AQ23">
        <v>5.7679999999999998</v>
      </c>
      <c r="AR23">
        <v>6.0339999999999998</v>
      </c>
      <c r="AS23">
        <v>5.8250000000000002</v>
      </c>
      <c r="AT23">
        <v>5.8250000000000002</v>
      </c>
      <c r="AU23">
        <v>5.8250000000000002</v>
      </c>
      <c r="AV23">
        <v>5.7290000000000001</v>
      </c>
      <c r="AW23">
        <v>6.0739999999999998</v>
      </c>
      <c r="AX23">
        <v>6.0739999999999998</v>
      </c>
      <c r="AY23">
        <v>6.0739999999999998</v>
      </c>
      <c r="AZ23">
        <v>7.36</v>
      </c>
      <c r="BA23">
        <v>7.36</v>
      </c>
      <c r="BB23">
        <v>5.8129999999999997</v>
      </c>
      <c r="BC23">
        <v>5.7679999999999998</v>
      </c>
      <c r="BD23">
        <v>3.6960000000000002</v>
      </c>
      <c r="BE23">
        <v>5.5140000000000002</v>
      </c>
      <c r="BF23">
        <v>5.5140000000000002</v>
      </c>
      <c r="BG23">
        <v>5.9880000000000004</v>
      </c>
      <c r="BH23">
        <v>6.1929999999999996</v>
      </c>
      <c r="BI23">
        <v>6.1929999999999996</v>
      </c>
      <c r="BJ23">
        <v>6.2240000000000002</v>
      </c>
      <c r="BK23">
        <v>6.2240000000000002</v>
      </c>
      <c r="BL23">
        <v>6.0890000000000004</v>
      </c>
      <c r="BM23">
        <v>6.2670000000000003</v>
      </c>
      <c r="BN23">
        <v>6.3079999999999998</v>
      </c>
      <c r="BO23">
        <v>6.0620000000000003</v>
      </c>
      <c r="BP23">
        <v>5.7549999999999999</v>
      </c>
      <c r="BQ23">
        <v>5.7549999999999999</v>
      </c>
      <c r="BR23">
        <v>6.0460000000000003</v>
      </c>
      <c r="BS23">
        <v>6.0439999999999996</v>
      </c>
      <c r="BT23">
        <v>5.6870000000000003</v>
      </c>
      <c r="BU23">
        <v>6.3120000000000003</v>
      </c>
      <c r="BV23">
        <v>6.3460000000000001</v>
      </c>
      <c r="BW23">
        <v>6.3460000000000001</v>
      </c>
      <c r="BX23">
        <v>6.1349999999999998</v>
      </c>
      <c r="BY23">
        <v>6.1840000000000002</v>
      </c>
      <c r="BZ23">
        <v>7.5860000000000003</v>
      </c>
      <c r="CA23">
        <v>5.7690000000000001</v>
      </c>
      <c r="CB23">
        <v>5.7229999999999999</v>
      </c>
      <c r="CC23">
        <v>5.8470000000000004</v>
      </c>
      <c r="CD23">
        <v>5.7270000000000003</v>
      </c>
      <c r="CE23">
        <v>5.742</v>
      </c>
      <c r="CF23">
        <v>5.7149999999999999</v>
      </c>
      <c r="CG23">
        <v>5.7610000000000001</v>
      </c>
      <c r="CH23">
        <v>6.2610000000000001</v>
      </c>
      <c r="CI23">
        <v>6.0419999999999998</v>
      </c>
      <c r="CJ23">
        <v>6.1779999999999999</v>
      </c>
      <c r="CK23">
        <v>6.16</v>
      </c>
      <c r="CL23">
        <v>6.1769999999999996</v>
      </c>
      <c r="CM23">
        <v>6.1769999999999996</v>
      </c>
      <c r="CN23">
        <v>7.36</v>
      </c>
      <c r="CO23">
        <v>7.36</v>
      </c>
      <c r="CS23">
        <v>7.484</v>
      </c>
      <c r="CT23">
        <v>5.9589999999999996</v>
      </c>
      <c r="CU23">
        <v>6.2930000000000001</v>
      </c>
      <c r="CV23">
        <v>6.0179999999999998</v>
      </c>
      <c r="CY23">
        <v>6.1360000000000001</v>
      </c>
      <c r="CZ23" s="56">
        <v>5.6373285291468287</v>
      </c>
    </row>
    <row r="24" spans="2:108" x14ac:dyDescent="0.35">
      <c r="B24">
        <v>31</v>
      </c>
      <c r="C24" s="63" t="s">
        <v>270</v>
      </c>
      <c r="D24">
        <v>6.0780000000000003</v>
      </c>
      <c r="E24">
        <v>6.0780000000000003</v>
      </c>
      <c r="F24">
        <v>6.3890000000000002</v>
      </c>
      <c r="G24">
        <v>6.4489999999999998</v>
      </c>
      <c r="H24">
        <v>4.984</v>
      </c>
      <c r="I24">
        <v>4.984</v>
      </c>
      <c r="J24">
        <v>4.984</v>
      </c>
      <c r="K24">
        <v>4.984</v>
      </c>
      <c r="L24">
        <v>7.3840000000000003</v>
      </c>
      <c r="M24">
        <v>7.3840000000000003</v>
      </c>
      <c r="N24">
        <v>7.3840000000000003</v>
      </c>
      <c r="O24">
        <v>6.76</v>
      </c>
      <c r="P24">
        <v>6.4160000000000004</v>
      </c>
      <c r="Q24">
        <v>6.4980000000000002</v>
      </c>
      <c r="R24">
        <v>6.3680000000000003</v>
      </c>
      <c r="S24">
        <v>6.3680000000000003</v>
      </c>
      <c r="T24">
        <v>6.3680000000000003</v>
      </c>
      <c r="U24">
        <v>5.9370000000000003</v>
      </c>
      <c r="V24">
        <v>6.468</v>
      </c>
      <c r="W24">
        <v>6.468</v>
      </c>
      <c r="X24">
        <v>6.468</v>
      </c>
      <c r="Y24">
        <v>6.468</v>
      </c>
      <c r="Z24">
        <v>6.3849999999999998</v>
      </c>
      <c r="AA24">
        <v>5.7850000000000001</v>
      </c>
      <c r="AB24">
        <v>5.7850000000000001</v>
      </c>
      <c r="AC24">
        <v>5.7850000000000001</v>
      </c>
      <c r="AD24">
        <v>5.7850000000000001</v>
      </c>
      <c r="AE24">
        <v>6.3460000000000001</v>
      </c>
      <c r="AF24">
        <v>6.3460000000000001</v>
      </c>
      <c r="AG24">
        <v>5.9420000000000002</v>
      </c>
      <c r="AH24">
        <v>5.9420000000000002</v>
      </c>
      <c r="AI24">
        <v>5.62</v>
      </c>
      <c r="AJ24">
        <v>6.3579999999999997</v>
      </c>
      <c r="AK24">
        <v>6.4029999999999996</v>
      </c>
      <c r="AL24">
        <v>5.6920000000000002</v>
      </c>
      <c r="AM24">
        <v>6.0229999999999997</v>
      </c>
      <c r="AN24">
        <v>6.0229999999999997</v>
      </c>
      <c r="AO24">
        <v>5.6520000000000001</v>
      </c>
      <c r="AP24">
        <v>5.6520000000000001</v>
      </c>
      <c r="AQ24">
        <v>5.6520000000000001</v>
      </c>
      <c r="AR24">
        <v>5.8380000000000001</v>
      </c>
      <c r="AS24">
        <v>5.7039999999999997</v>
      </c>
      <c r="AT24">
        <v>5.7039999999999997</v>
      </c>
      <c r="AU24">
        <v>5.7039999999999997</v>
      </c>
      <c r="AV24">
        <v>5.6890000000000001</v>
      </c>
      <c r="AW24">
        <v>5.9009999999999998</v>
      </c>
      <c r="AX24">
        <v>5.9009999999999998</v>
      </c>
      <c r="AY24">
        <v>5.9009999999999998</v>
      </c>
      <c r="AZ24">
        <v>7.2080000000000002</v>
      </c>
      <c r="BA24">
        <v>7.2080000000000002</v>
      </c>
      <c r="BB24">
        <v>5.7389999999999999</v>
      </c>
      <c r="BC24">
        <v>5.6520000000000001</v>
      </c>
      <c r="BD24">
        <v>3.7570000000000001</v>
      </c>
      <c r="BE24">
        <v>5.4219999999999997</v>
      </c>
      <c r="BF24">
        <v>5.4219999999999997</v>
      </c>
      <c r="BG24">
        <v>5.859</v>
      </c>
      <c r="BH24">
        <v>6.0460000000000003</v>
      </c>
      <c r="BI24">
        <v>6.0460000000000003</v>
      </c>
      <c r="BJ24">
        <v>6.1219999999999999</v>
      </c>
      <c r="BK24">
        <v>6.1219999999999999</v>
      </c>
      <c r="BL24">
        <v>5.9569999999999999</v>
      </c>
      <c r="BM24">
        <v>6.1260000000000003</v>
      </c>
      <c r="BN24">
        <v>6.16</v>
      </c>
      <c r="BO24">
        <v>5.76</v>
      </c>
      <c r="BP24">
        <v>5.6740000000000004</v>
      </c>
      <c r="BQ24">
        <v>5.6740000000000004</v>
      </c>
      <c r="BR24">
        <v>5.976</v>
      </c>
      <c r="BS24">
        <v>5.9720000000000004</v>
      </c>
      <c r="BT24">
        <v>5.6539999999999999</v>
      </c>
      <c r="BU24">
        <v>6.2320000000000002</v>
      </c>
      <c r="BV24">
        <v>6.2530000000000001</v>
      </c>
      <c r="BW24">
        <v>6.2530000000000001</v>
      </c>
      <c r="BX24">
        <v>6.0990000000000002</v>
      </c>
      <c r="BY24">
        <v>6.0919999999999996</v>
      </c>
      <c r="BZ24">
        <v>7.6660000000000004</v>
      </c>
      <c r="CA24">
        <v>5.6390000000000002</v>
      </c>
      <c r="CB24">
        <v>5.6689999999999996</v>
      </c>
      <c r="CC24">
        <v>5.7039999999999997</v>
      </c>
      <c r="CD24">
        <v>5.7770000000000001</v>
      </c>
      <c r="CE24">
        <v>5.7779999999999996</v>
      </c>
      <c r="CF24">
        <v>5.77</v>
      </c>
      <c r="CG24">
        <v>5.7949999999999999</v>
      </c>
      <c r="CH24">
        <v>6.1619999999999999</v>
      </c>
      <c r="CI24">
        <v>5.9279999999999999</v>
      </c>
      <c r="CJ24">
        <v>6.0209999999999999</v>
      </c>
      <c r="CK24">
        <v>6.0289999999999999</v>
      </c>
      <c r="CL24">
        <v>6.0140000000000002</v>
      </c>
      <c r="CM24">
        <v>6.0140000000000002</v>
      </c>
      <c r="CN24">
        <v>7.2080000000000002</v>
      </c>
      <c r="CO24">
        <v>7.2080000000000002</v>
      </c>
      <c r="CS24">
        <v>7.3840000000000003</v>
      </c>
      <c r="CT24">
        <v>5.819</v>
      </c>
      <c r="CU24">
        <v>6.1420000000000003</v>
      </c>
      <c r="CV24">
        <v>6.0419999999999998</v>
      </c>
      <c r="CY24">
        <v>6.1079999999999997</v>
      </c>
      <c r="CZ24" s="56">
        <v>5.5043726676103475</v>
      </c>
    </row>
    <row r="25" spans="2:108" x14ac:dyDescent="0.35">
      <c r="B25">
        <v>31</v>
      </c>
      <c r="C25" s="63" t="s">
        <v>271</v>
      </c>
      <c r="D25">
        <v>6.0490000000000004</v>
      </c>
      <c r="E25">
        <v>6.0490000000000004</v>
      </c>
      <c r="F25">
        <v>6.4039999999999999</v>
      </c>
      <c r="G25">
        <v>6.4560000000000004</v>
      </c>
      <c r="H25">
        <v>4.8620000000000001</v>
      </c>
      <c r="I25">
        <v>4.8620000000000001</v>
      </c>
      <c r="J25">
        <v>4.8620000000000001</v>
      </c>
      <c r="K25">
        <v>4.8620000000000001</v>
      </c>
      <c r="L25">
        <v>6.9889999999999999</v>
      </c>
      <c r="M25">
        <v>6.9889999999999999</v>
      </c>
      <c r="N25">
        <v>6.9889999999999999</v>
      </c>
      <c r="O25">
        <v>6.6150000000000002</v>
      </c>
      <c r="P25">
        <v>6.2149999999999999</v>
      </c>
      <c r="Q25">
        <v>6.5179999999999998</v>
      </c>
      <c r="R25">
        <v>6.3630000000000004</v>
      </c>
      <c r="S25">
        <v>6.3630000000000004</v>
      </c>
      <c r="T25">
        <v>6.3630000000000004</v>
      </c>
      <c r="U25">
        <v>5.7850000000000001</v>
      </c>
      <c r="V25">
        <v>6.4489999999999998</v>
      </c>
      <c r="W25">
        <v>6.4489999999999998</v>
      </c>
      <c r="X25">
        <v>6.4489999999999998</v>
      </c>
      <c r="Y25">
        <v>6.4489999999999998</v>
      </c>
      <c r="Z25">
        <v>6.3559999999999999</v>
      </c>
      <c r="AA25">
        <v>5.6130000000000004</v>
      </c>
      <c r="AB25">
        <v>5.6130000000000004</v>
      </c>
      <c r="AC25">
        <v>5.6130000000000004</v>
      </c>
      <c r="AD25">
        <v>5.6130000000000004</v>
      </c>
      <c r="AE25">
        <v>6.3280000000000003</v>
      </c>
      <c r="AF25">
        <v>6.3280000000000003</v>
      </c>
      <c r="AG25">
        <v>5.9109999999999996</v>
      </c>
      <c r="AH25">
        <v>5.9109999999999996</v>
      </c>
      <c r="AI25">
        <v>5.585</v>
      </c>
      <c r="AJ25">
        <v>6.2450000000000001</v>
      </c>
      <c r="AK25">
        <v>6.2679999999999998</v>
      </c>
      <c r="AL25">
        <v>5.57</v>
      </c>
      <c r="AM25">
        <v>5.851</v>
      </c>
      <c r="AN25">
        <v>5.851</v>
      </c>
      <c r="AO25">
        <v>5.5540000000000003</v>
      </c>
      <c r="AP25">
        <v>5.5540000000000003</v>
      </c>
      <c r="AQ25">
        <v>5.5540000000000003</v>
      </c>
      <c r="AR25">
        <v>5.6239999999999997</v>
      </c>
      <c r="AS25">
        <v>5.5540000000000003</v>
      </c>
      <c r="AT25">
        <v>5.5540000000000003</v>
      </c>
      <c r="AU25">
        <v>5.5540000000000003</v>
      </c>
      <c r="AV25">
        <v>5.5570000000000004</v>
      </c>
      <c r="AW25">
        <v>5.7640000000000002</v>
      </c>
      <c r="AX25">
        <v>5.7640000000000002</v>
      </c>
      <c r="AY25">
        <v>5.7640000000000002</v>
      </c>
      <c r="AZ25">
        <v>6.88</v>
      </c>
      <c r="BA25">
        <v>6.88</v>
      </c>
      <c r="BB25">
        <v>5.609</v>
      </c>
      <c r="BC25">
        <v>5.5540000000000003</v>
      </c>
      <c r="BD25">
        <v>3.6429999999999998</v>
      </c>
      <c r="BE25">
        <v>5.2309999999999999</v>
      </c>
      <c r="BF25">
        <v>5.2309999999999999</v>
      </c>
      <c r="BG25">
        <v>5.8289999999999997</v>
      </c>
      <c r="BH25">
        <v>6.0460000000000003</v>
      </c>
      <c r="BI25">
        <v>6.0460000000000003</v>
      </c>
      <c r="BJ25">
        <v>6.0979999999999999</v>
      </c>
      <c r="BK25">
        <v>6.0979999999999999</v>
      </c>
      <c r="BL25">
        <v>5.9660000000000002</v>
      </c>
      <c r="BM25">
        <v>6.109</v>
      </c>
      <c r="BN25">
        <v>6.1379999999999999</v>
      </c>
      <c r="BO25">
        <v>5.6440000000000001</v>
      </c>
      <c r="BP25">
        <v>5.5679999999999996</v>
      </c>
      <c r="BQ25">
        <v>5.5679999999999996</v>
      </c>
      <c r="BR25">
        <v>5.8330000000000002</v>
      </c>
      <c r="BS25">
        <v>5.8239999999999998</v>
      </c>
      <c r="BT25">
        <v>5.6479999999999997</v>
      </c>
      <c r="BU25">
        <v>6.266</v>
      </c>
      <c r="BV25">
        <v>6.29</v>
      </c>
      <c r="BW25">
        <v>6.29</v>
      </c>
      <c r="BX25">
        <v>6.0979999999999999</v>
      </c>
      <c r="BY25">
        <v>6.0369999999999999</v>
      </c>
      <c r="BZ25">
        <v>7.2309999999999999</v>
      </c>
      <c r="CA25">
        <v>5.476</v>
      </c>
      <c r="CB25">
        <v>5.5229999999999997</v>
      </c>
      <c r="CC25">
        <v>5.54</v>
      </c>
      <c r="CD25">
        <v>5.6479999999999997</v>
      </c>
      <c r="CE25">
        <v>5.6559999999999997</v>
      </c>
      <c r="CF25">
        <v>5.5609999999999999</v>
      </c>
      <c r="CG25">
        <v>5.6740000000000004</v>
      </c>
      <c r="CH25">
        <v>6.0970000000000004</v>
      </c>
      <c r="CI25">
        <v>5.9080000000000004</v>
      </c>
      <c r="CJ25">
        <v>6.0259999999999998</v>
      </c>
      <c r="CK25">
        <v>6.0190000000000001</v>
      </c>
      <c r="CL25">
        <v>6.0179999999999998</v>
      </c>
      <c r="CM25">
        <v>6.0179999999999998</v>
      </c>
      <c r="CN25">
        <v>6.88</v>
      </c>
      <c r="CO25">
        <v>6.88</v>
      </c>
      <c r="CS25">
        <v>6.9889999999999999</v>
      </c>
      <c r="CT25">
        <v>5.8040000000000003</v>
      </c>
      <c r="CU25">
        <v>6.1210000000000004</v>
      </c>
      <c r="CV25">
        <v>6.157</v>
      </c>
      <c r="CY25">
        <v>6.09</v>
      </c>
      <c r="CZ25" s="56">
        <v>4.9915429159696316</v>
      </c>
    </row>
    <row r="26" spans="2:108" x14ac:dyDescent="0.35">
      <c r="B26">
        <v>30</v>
      </c>
      <c r="C26" s="63" t="s">
        <v>272</v>
      </c>
      <c r="D26">
        <v>6.6539999999999999</v>
      </c>
      <c r="E26">
        <v>6.6539999999999999</v>
      </c>
      <c r="F26">
        <v>6.883</v>
      </c>
      <c r="G26">
        <v>6.9370000000000003</v>
      </c>
      <c r="H26">
        <v>5.6289999999999996</v>
      </c>
      <c r="I26">
        <v>5.6289999999999996</v>
      </c>
      <c r="J26">
        <v>5.6289999999999996</v>
      </c>
      <c r="K26">
        <v>5.6289999999999996</v>
      </c>
      <c r="L26">
        <v>7.7590000000000003</v>
      </c>
      <c r="M26">
        <v>7.7590000000000003</v>
      </c>
      <c r="N26">
        <v>7.7590000000000003</v>
      </c>
      <c r="O26">
        <v>7.3810000000000002</v>
      </c>
      <c r="P26">
        <v>6.766</v>
      </c>
      <c r="Q26">
        <v>7.0350000000000001</v>
      </c>
      <c r="R26">
        <v>6.9180000000000001</v>
      </c>
      <c r="S26">
        <v>6.9180000000000001</v>
      </c>
      <c r="T26">
        <v>6.9180000000000001</v>
      </c>
      <c r="U26">
        <v>6.3520000000000003</v>
      </c>
      <c r="V26">
        <v>6.9119999999999999</v>
      </c>
      <c r="W26">
        <v>6.9119999999999999</v>
      </c>
      <c r="X26">
        <v>6.9119999999999999</v>
      </c>
      <c r="Y26">
        <v>6.9119999999999999</v>
      </c>
      <c r="Z26">
        <v>6.8550000000000004</v>
      </c>
      <c r="AA26">
        <v>6.1559999999999997</v>
      </c>
      <c r="AB26">
        <v>6.1559999999999997</v>
      </c>
      <c r="AC26">
        <v>6.1559999999999997</v>
      </c>
      <c r="AD26">
        <v>6.1559999999999997</v>
      </c>
      <c r="AE26">
        <v>6.8250000000000002</v>
      </c>
      <c r="AF26">
        <v>6.8250000000000002</v>
      </c>
      <c r="AG26">
        <v>6.4669999999999996</v>
      </c>
      <c r="AH26">
        <v>6.4669999999999996</v>
      </c>
      <c r="AI26">
        <v>6.194</v>
      </c>
      <c r="AJ26">
        <v>7.069</v>
      </c>
      <c r="AK26">
        <v>6.9930000000000003</v>
      </c>
      <c r="AL26">
        <v>6.3390000000000004</v>
      </c>
      <c r="AM26">
        <v>6.452</v>
      </c>
      <c r="AN26">
        <v>6.452</v>
      </c>
      <c r="AO26">
        <v>6.2869999999999999</v>
      </c>
      <c r="AP26">
        <v>6.2869999999999999</v>
      </c>
      <c r="AQ26">
        <v>6.2869999999999999</v>
      </c>
      <c r="AR26">
        <v>6.36</v>
      </c>
      <c r="AS26">
        <v>6.3150000000000004</v>
      </c>
      <c r="AT26">
        <v>6.3150000000000004</v>
      </c>
      <c r="AU26">
        <v>6.3150000000000004</v>
      </c>
      <c r="AV26">
        <v>6.173</v>
      </c>
      <c r="AW26">
        <v>6.3890000000000002</v>
      </c>
      <c r="AX26">
        <v>6.3890000000000002</v>
      </c>
      <c r="AY26">
        <v>6.3890000000000002</v>
      </c>
      <c r="AZ26">
        <v>7.6790000000000003</v>
      </c>
      <c r="BA26">
        <v>7.6790000000000003</v>
      </c>
      <c r="BB26">
        <v>6.2709999999999999</v>
      </c>
      <c r="BC26">
        <v>6.2869999999999999</v>
      </c>
      <c r="BD26">
        <v>3.75</v>
      </c>
      <c r="BE26">
        <v>5.9320000000000004</v>
      </c>
      <c r="BF26">
        <v>5.9320000000000004</v>
      </c>
      <c r="BG26">
        <v>6.4050000000000002</v>
      </c>
      <c r="BH26">
        <v>6.6959999999999997</v>
      </c>
      <c r="BI26">
        <v>6.6959999999999997</v>
      </c>
      <c r="BJ26">
        <v>6.6479999999999997</v>
      </c>
      <c r="BK26">
        <v>6.6479999999999997</v>
      </c>
      <c r="BL26">
        <v>6.6189999999999998</v>
      </c>
      <c r="BM26">
        <v>6.7060000000000004</v>
      </c>
      <c r="BN26">
        <v>6.7080000000000002</v>
      </c>
      <c r="BO26">
        <v>6.3390000000000004</v>
      </c>
      <c r="BP26">
        <v>6.343</v>
      </c>
      <c r="BQ26">
        <v>6.343</v>
      </c>
      <c r="BR26">
        <v>6.3970000000000002</v>
      </c>
      <c r="BS26">
        <v>6.3890000000000002</v>
      </c>
      <c r="BT26">
        <v>6.2489999999999997</v>
      </c>
      <c r="BU26">
        <v>6.8120000000000003</v>
      </c>
      <c r="BV26">
        <v>6.8520000000000003</v>
      </c>
      <c r="BW26">
        <v>6.8520000000000003</v>
      </c>
      <c r="BX26">
        <v>6.6070000000000002</v>
      </c>
      <c r="BY26">
        <v>6.585</v>
      </c>
      <c r="BZ26">
        <v>7.2649999999999997</v>
      </c>
      <c r="CA26">
        <v>6.2320000000000002</v>
      </c>
      <c r="CB26">
        <v>6.1689999999999996</v>
      </c>
      <c r="CC26">
        <v>6.2640000000000002</v>
      </c>
      <c r="CD26">
        <v>6.3220000000000001</v>
      </c>
      <c r="CE26">
        <v>6.3440000000000003</v>
      </c>
      <c r="CF26">
        <v>6.0410000000000004</v>
      </c>
      <c r="CG26">
        <v>6.3650000000000002</v>
      </c>
      <c r="CH26">
        <v>6.64</v>
      </c>
      <c r="CI26">
        <v>6.4630000000000001</v>
      </c>
      <c r="CJ26">
        <v>6.69</v>
      </c>
      <c r="CK26">
        <v>6.6239999999999997</v>
      </c>
      <c r="CL26">
        <v>6.6769999999999996</v>
      </c>
      <c r="CM26">
        <v>6.6769999999999996</v>
      </c>
      <c r="CN26">
        <v>7.6790000000000003</v>
      </c>
      <c r="CO26">
        <v>7.6790000000000003</v>
      </c>
      <c r="CS26">
        <v>7.7590000000000003</v>
      </c>
      <c r="CT26">
        <v>6.3630000000000004</v>
      </c>
      <c r="CU26">
        <v>6.7050000000000001</v>
      </c>
      <c r="CV26">
        <v>6.2759999999999998</v>
      </c>
      <c r="CY26">
        <v>6.43</v>
      </c>
      <c r="CZ26" s="56">
        <v>5.5556556427744193</v>
      </c>
    </row>
    <row r="27" spans="2:108" x14ac:dyDescent="0.35">
      <c r="B27">
        <v>31</v>
      </c>
      <c r="C27" s="63" t="s">
        <v>273</v>
      </c>
      <c r="D27">
        <v>7.5739999999999998</v>
      </c>
      <c r="E27">
        <v>7.5739999999999998</v>
      </c>
      <c r="F27">
        <v>8.0289999999999999</v>
      </c>
      <c r="G27">
        <v>8.1020000000000003</v>
      </c>
      <c r="H27">
        <v>6.7549999999999999</v>
      </c>
      <c r="I27">
        <v>6.7549999999999999</v>
      </c>
      <c r="J27">
        <v>6.7549999999999999</v>
      </c>
      <c r="K27">
        <v>6.7549999999999999</v>
      </c>
      <c r="L27">
        <v>8.3650000000000002</v>
      </c>
      <c r="M27">
        <v>8.3650000000000002</v>
      </c>
      <c r="N27">
        <v>8.3650000000000002</v>
      </c>
      <c r="O27">
        <v>8.4920000000000009</v>
      </c>
      <c r="P27">
        <v>7.2489999999999997</v>
      </c>
      <c r="Q27">
        <v>8.2420000000000009</v>
      </c>
      <c r="R27">
        <v>7.9859999999999998</v>
      </c>
      <c r="S27">
        <v>7.9859999999999998</v>
      </c>
      <c r="T27">
        <v>7.9859999999999998</v>
      </c>
      <c r="U27">
        <v>7.0979999999999999</v>
      </c>
      <c r="V27">
        <v>7.9880000000000004</v>
      </c>
      <c r="W27">
        <v>7.9880000000000004</v>
      </c>
      <c r="X27">
        <v>7.9880000000000004</v>
      </c>
      <c r="Y27">
        <v>7.9880000000000004</v>
      </c>
      <c r="Z27">
        <v>7.8979999999999997</v>
      </c>
      <c r="AA27">
        <v>6.8280000000000003</v>
      </c>
      <c r="AB27">
        <v>6.8280000000000003</v>
      </c>
      <c r="AC27">
        <v>6.8280000000000003</v>
      </c>
      <c r="AD27">
        <v>6.8280000000000003</v>
      </c>
      <c r="AE27">
        <v>7.8520000000000003</v>
      </c>
      <c r="AF27">
        <v>7.8520000000000003</v>
      </c>
      <c r="AG27">
        <v>7.3860000000000001</v>
      </c>
      <c r="AH27">
        <v>7.3860000000000001</v>
      </c>
      <c r="AI27">
        <v>6.9619999999999997</v>
      </c>
      <c r="AJ27">
        <v>8.1820000000000004</v>
      </c>
      <c r="AK27">
        <v>7.8280000000000003</v>
      </c>
      <c r="AL27">
        <v>7.29</v>
      </c>
      <c r="AM27">
        <v>7.1440000000000001</v>
      </c>
      <c r="AN27">
        <v>7.1440000000000001</v>
      </c>
      <c r="AO27">
        <v>7.2140000000000004</v>
      </c>
      <c r="AP27">
        <v>7.2140000000000004</v>
      </c>
      <c r="AQ27">
        <v>7.2140000000000004</v>
      </c>
      <c r="AR27">
        <v>7.6020000000000003</v>
      </c>
      <c r="AS27">
        <v>7.1619999999999999</v>
      </c>
      <c r="AT27">
        <v>7.1619999999999999</v>
      </c>
      <c r="AU27">
        <v>7.1619999999999999</v>
      </c>
      <c r="AV27">
        <v>6.9980000000000002</v>
      </c>
      <c r="AW27">
        <v>7.2169999999999996</v>
      </c>
      <c r="AX27">
        <v>7.2169999999999996</v>
      </c>
      <c r="AY27">
        <v>7.2169999999999996</v>
      </c>
      <c r="AZ27">
        <v>8.4949999999999992</v>
      </c>
      <c r="BA27">
        <v>8.4949999999999992</v>
      </c>
      <c r="BB27">
        <v>7.1139999999999999</v>
      </c>
      <c r="BC27">
        <v>7.2140000000000004</v>
      </c>
      <c r="BD27">
        <v>4.3559999999999999</v>
      </c>
      <c r="BE27">
        <v>6.8150000000000004</v>
      </c>
      <c r="BF27">
        <v>6.8150000000000004</v>
      </c>
      <c r="BG27">
        <v>7.3129999999999997</v>
      </c>
      <c r="BH27">
        <v>7.7539999999999996</v>
      </c>
      <c r="BI27">
        <v>7.7539999999999996</v>
      </c>
      <c r="BJ27">
        <v>7.665</v>
      </c>
      <c r="BK27">
        <v>7.665</v>
      </c>
      <c r="BL27">
        <v>7.734</v>
      </c>
      <c r="BM27">
        <v>7.718</v>
      </c>
      <c r="BN27">
        <v>7.6580000000000004</v>
      </c>
      <c r="BO27">
        <v>7.1440000000000001</v>
      </c>
      <c r="BP27">
        <v>7.3460000000000001</v>
      </c>
      <c r="BQ27">
        <v>7.3460000000000001</v>
      </c>
      <c r="BR27">
        <v>7.1719999999999997</v>
      </c>
      <c r="BS27">
        <v>7.1550000000000002</v>
      </c>
      <c r="BT27">
        <v>7.3179999999999996</v>
      </c>
      <c r="BU27">
        <v>7.9969999999999999</v>
      </c>
      <c r="BV27">
        <v>8.0289999999999999</v>
      </c>
      <c r="BW27">
        <v>8.0289999999999999</v>
      </c>
      <c r="BX27">
        <v>7.6420000000000003</v>
      </c>
      <c r="BY27">
        <v>7.5339999999999998</v>
      </c>
      <c r="BZ27">
        <v>7.6310000000000002</v>
      </c>
      <c r="CA27">
        <v>7.0389999999999997</v>
      </c>
      <c r="CB27">
        <v>6.9489999999999998</v>
      </c>
      <c r="CC27">
        <v>6.9580000000000002</v>
      </c>
      <c r="CD27">
        <v>7.2110000000000003</v>
      </c>
      <c r="CE27">
        <v>7.2060000000000004</v>
      </c>
      <c r="CF27">
        <v>6.8120000000000003</v>
      </c>
      <c r="CG27">
        <v>7.2130000000000001</v>
      </c>
      <c r="CH27">
        <v>7.5650000000000004</v>
      </c>
      <c r="CI27">
        <v>7.39</v>
      </c>
      <c r="CJ27">
        <v>7.7679999999999998</v>
      </c>
      <c r="CK27">
        <v>7.6669999999999998</v>
      </c>
      <c r="CL27">
        <v>7.74</v>
      </c>
      <c r="CM27">
        <v>7.74</v>
      </c>
      <c r="CN27">
        <v>8.4949999999999992</v>
      </c>
      <c r="CO27">
        <v>8.4949999999999992</v>
      </c>
      <c r="CS27">
        <v>8.3650000000000002</v>
      </c>
      <c r="CT27">
        <v>7.2460000000000004</v>
      </c>
      <c r="CU27">
        <v>7.673</v>
      </c>
      <c r="CV27">
        <v>7.17</v>
      </c>
      <c r="CY27">
        <v>7.3719999999999999</v>
      </c>
      <c r="CZ27" s="56">
        <v>6.1881456697979678</v>
      </c>
    </row>
    <row r="28" spans="2:108" x14ac:dyDescent="0.35">
      <c r="B28">
        <v>30</v>
      </c>
      <c r="C28" s="63" t="s">
        <v>274</v>
      </c>
      <c r="D28">
        <v>7.5229999999999997</v>
      </c>
      <c r="E28">
        <v>7.5229999999999997</v>
      </c>
      <c r="F28">
        <v>8.3490000000000002</v>
      </c>
      <c r="G28">
        <v>8.4489999999999998</v>
      </c>
      <c r="H28">
        <v>7.25</v>
      </c>
      <c r="I28">
        <v>7.25</v>
      </c>
      <c r="J28">
        <v>7.25</v>
      </c>
      <c r="K28">
        <v>7.25</v>
      </c>
      <c r="L28">
        <v>9.7690000000000001</v>
      </c>
      <c r="M28">
        <v>9.7690000000000001</v>
      </c>
      <c r="N28">
        <v>9.7690000000000001</v>
      </c>
      <c r="O28">
        <v>9.3309999999999995</v>
      </c>
      <c r="P28">
        <v>7.984</v>
      </c>
      <c r="Q28">
        <v>8.6069999999999993</v>
      </c>
      <c r="R28">
        <v>8.1869999999999994</v>
      </c>
      <c r="S28">
        <v>8.1869999999999994</v>
      </c>
      <c r="T28">
        <v>8.1869999999999994</v>
      </c>
      <c r="U28">
        <v>7.3490000000000002</v>
      </c>
      <c r="V28">
        <v>8.2840000000000007</v>
      </c>
      <c r="W28">
        <v>8.2840000000000007</v>
      </c>
      <c r="X28">
        <v>8.2840000000000007</v>
      </c>
      <c r="Y28">
        <v>8.2840000000000007</v>
      </c>
      <c r="Z28">
        <v>8.1590000000000007</v>
      </c>
      <c r="AA28">
        <v>7.23</v>
      </c>
      <c r="AB28">
        <v>7.23</v>
      </c>
      <c r="AC28">
        <v>7.23</v>
      </c>
      <c r="AD28">
        <v>7.23</v>
      </c>
      <c r="AE28">
        <v>8.0440000000000005</v>
      </c>
      <c r="AF28">
        <v>8.0440000000000005</v>
      </c>
      <c r="AG28">
        <v>7.5739999999999998</v>
      </c>
      <c r="AH28">
        <v>7.5739999999999998</v>
      </c>
      <c r="AI28">
        <v>7.085</v>
      </c>
      <c r="AJ28">
        <v>8.8689999999999998</v>
      </c>
      <c r="AK28">
        <v>8.4580000000000002</v>
      </c>
      <c r="AL28">
        <v>7.423</v>
      </c>
      <c r="AM28">
        <v>7.6210000000000004</v>
      </c>
      <c r="AN28">
        <v>7.6210000000000004</v>
      </c>
      <c r="AO28">
        <v>7.4480000000000004</v>
      </c>
      <c r="AP28">
        <v>7.4480000000000004</v>
      </c>
      <c r="AQ28">
        <v>7.4480000000000004</v>
      </c>
      <c r="AR28">
        <v>7.73</v>
      </c>
      <c r="AS28">
        <v>7.3</v>
      </c>
      <c r="AT28">
        <v>7.3</v>
      </c>
      <c r="AU28">
        <v>7.3</v>
      </c>
      <c r="AV28">
        <v>7.2359999999999998</v>
      </c>
      <c r="AW28">
        <v>7.7229999999999999</v>
      </c>
      <c r="AX28">
        <v>7.7229999999999999</v>
      </c>
      <c r="AY28">
        <v>7.7229999999999999</v>
      </c>
      <c r="AZ28">
        <v>9.6280000000000001</v>
      </c>
      <c r="BA28">
        <v>9.6280000000000001</v>
      </c>
      <c r="BB28">
        <v>7.3869999999999996</v>
      </c>
      <c r="BC28">
        <v>7.4480000000000004</v>
      </c>
      <c r="BD28">
        <v>4.601</v>
      </c>
      <c r="BE28">
        <v>7.3129999999999997</v>
      </c>
      <c r="BF28">
        <v>7.3129999999999997</v>
      </c>
      <c r="BG28">
        <v>7.4619999999999997</v>
      </c>
      <c r="BH28">
        <v>7.9779999999999998</v>
      </c>
      <c r="BI28">
        <v>7.9779999999999998</v>
      </c>
      <c r="BJ28">
        <v>7.9260000000000002</v>
      </c>
      <c r="BK28">
        <v>7.9260000000000002</v>
      </c>
      <c r="BL28">
        <v>7.9850000000000003</v>
      </c>
      <c r="BM28">
        <v>7.9539999999999997</v>
      </c>
      <c r="BN28">
        <v>7.85</v>
      </c>
      <c r="BO28">
        <v>7.5229999999999997</v>
      </c>
      <c r="BP28">
        <v>7.5030000000000001</v>
      </c>
      <c r="BQ28">
        <v>7.5030000000000001</v>
      </c>
      <c r="BR28">
        <v>7.4219999999999997</v>
      </c>
      <c r="BS28">
        <v>7.4029999999999996</v>
      </c>
      <c r="BT28">
        <v>7.7439999999999998</v>
      </c>
      <c r="BU28">
        <v>8.327</v>
      </c>
      <c r="BV28">
        <v>8.2669999999999995</v>
      </c>
      <c r="BW28">
        <v>8.2669999999999995</v>
      </c>
      <c r="BX28">
        <v>7.8959999999999999</v>
      </c>
      <c r="BY28">
        <v>7.734</v>
      </c>
      <c r="BZ28">
        <v>8.6530000000000005</v>
      </c>
      <c r="CA28">
        <v>7.1689999999999996</v>
      </c>
      <c r="CB28">
        <v>7.2030000000000003</v>
      </c>
      <c r="CC28">
        <v>7.1079999999999997</v>
      </c>
      <c r="CD28">
        <v>7.2619999999999996</v>
      </c>
      <c r="CE28">
        <v>7.2519999999999998</v>
      </c>
      <c r="CF28">
        <v>7.2169999999999996</v>
      </c>
      <c r="CG28">
        <v>7.2610000000000001</v>
      </c>
      <c r="CH28">
        <v>7.7409999999999997</v>
      </c>
      <c r="CI28">
        <v>7.5709999999999997</v>
      </c>
      <c r="CJ28">
        <v>7.9710000000000001</v>
      </c>
      <c r="CK28">
        <v>7.9260000000000002</v>
      </c>
      <c r="CL28">
        <v>7.9279999999999999</v>
      </c>
      <c r="CM28">
        <v>7.9279999999999999</v>
      </c>
      <c r="CN28">
        <v>9.6280000000000001</v>
      </c>
      <c r="CO28">
        <v>9.6280000000000001</v>
      </c>
      <c r="CS28">
        <v>9.7690000000000001</v>
      </c>
      <c r="CT28">
        <v>7.3029999999999999</v>
      </c>
      <c r="CU28">
        <v>7.8789999999999996</v>
      </c>
      <c r="CV28">
        <v>7.8639999999999999</v>
      </c>
      <c r="CY28">
        <v>8.1240000000000006</v>
      </c>
      <c r="CZ28" s="56">
        <v>6.4768498262771859</v>
      </c>
    </row>
    <row r="29" spans="2:108" x14ac:dyDescent="0.35">
      <c r="B29">
        <v>31</v>
      </c>
      <c r="C29" s="63" t="s">
        <v>275</v>
      </c>
      <c r="D29">
        <v>7.609</v>
      </c>
      <c r="E29">
        <v>7.609</v>
      </c>
      <c r="F29">
        <v>9.0139999999999993</v>
      </c>
      <c r="G29">
        <v>9.1189999999999998</v>
      </c>
      <c r="H29">
        <v>7.5140000000000002</v>
      </c>
      <c r="I29">
        <v>7.5140000000000002</v>
      </c>
      <c r="J29">
        <v>7.5140000000000002</v>
      </c>
      <c r="K29">
        <v>7.5140000000000002</v>
      </c>
      <c r="L29">
        <v>9.9830000000000005</v>
      </c>
      <c r="M29">
        <v>9.9830000000000005</v>
      </c>
      <c r="N29">
        <v>9.9830000000000005</v>
      </c>
      <c r="O29">
        <v>9.9659999999999993</v>
      </c>
      <c r="P29">
        <v>8.0009999999999994</v>
      </c>
      <c r="Q29">
        <v>9.282</v>
      </c>
      <c r="R29">
        <v>8.7989999999999995</v>
      </c>
      <c r="S29">
        <v>8.7989999999999995</v>
      </c>
      <c r="T29">
        <v>8.7989999999999995</v>
      </c>
      <c r="U29">
        <v>8.0449999999999999</v>
      </c>
      <c r="V29">
        <v>8.94</v>
      </c>
      <c r="W29">
        <v>8.94</v>
      </c>
      <c r="X29">
        <v>8.94</v>
      </c>
      <c r="Y29">
        <v>8.94</v>
      </c>
      <c r="Z29">
        <v>8.8330000000000002</v>
      </c>
      <c r="AA29">
        <v>7.8979999999999997</v>
      </c>
      <c r="AB29">
        <v>7.8979999999999997</v>
      </c>
      <c r="AC29">
        <v>7.8979999999999997</v>
      </c>
      <c r="AD29">
        <v>7.8979999999999997</v>
      </c>
      <c r="AE29">
        <v>8.6989999999999998</v>
      </c>
      <c r="AF29">
        <v>8.6989999999999998</v>
      </c>
      <c r="AG29">
        <v>8.1519999999999992</v>
      </c>
      <c r="AH29">
        <v>8.1519999999999992</v>
      </c>
      <c r="AI29">
        <v>7.1829999999999998</v>
      </c>
      <c r="AJ29">
        <v>9.4730000000000008</v>
      </c>
      <c r="AK29">
        <v>9.0150000000000006</v>
      </c>
      <c r="AL29">
        <v>8.1609999999999996</v>
      </c>
      <c r="AM29">
        <v>8.2189999999999994</v>
      </c>
      <c r="AN29">
        <v>8.2189999999999994</v>
      </c>
      <c r="AO29">
        <v>8.1080000000000005</v>
      </c>
      <c r="AP29">
        <v>8.1080000000000005</v>
      </c>
      <c r="AQ29">
        <v>8.1080000000000005</v>
      </c>
      <c r="AR29">
        <v>7.57</v>
      </c>
      <c r="AS29">
        <v>7.9969999999999999</v>
      </c>
      <c r="AT29">
        <v>7.9969999999999999</v>
      </c>
      <c r="AU29">
        <v>7.9969999999999999</v>
      </c>
      <c r="AV29">
        <v>7.9690000000000003</v>
      </c>
      <c r="AW29">
        <v>8.3360000000000003</v>
      </c>
      <c r="AX29">
        <v>8.3360000000000003</v>
      </c>
      <c r="AY29">
        <v>8.3360000000000003</v>
      </c>
      <c r="AZ29">
        <v>9.73</v>
      </c>
      <c r="BA29">
        <v>9.73</v>
      </c>
      <c r="BB29">
        <v>8.077</v>
      </c>
      <c r="BC29">
        <v>8.1080000000000005</v>
      </c>
      <c r="BD29">
        <v>4.9950000000000001</v>
      </c>
      <c r="BE29">
        <v>7.9539999999999997</v>
      </c>
      <c r="BF29">
        <v>7.9539999999999997</v>
      </c>
      <c r="BG29">
        <v>7.9829999999999997</v>
      </c>
      <c r="BH29">
        <v>8.4909999999999997</v>
      </c>
      <c r="BI29">
        <v>8.4909999999999997</v>
      </c>
      <c r="BJ29">
        <v>8.5340000000000007</v>
      </c>
      <c r="BK29">
        <v>8.5340000000000007</v>
      </c>
      <c r="BL29">
        <v>8.5129999999999999</v>
      </c>
      <c r="BM29">
        <v>8.5190000000000001</v>
      </c>
      <c r="BN29">
        <v>8.4269999999999996</v>
      </c>
      <c r="BO29">
        <v>8.032</v>
      </c>
      <c r="BP29">
        <v>8.2330000000000005</v>
      </c>
      <c r="BQ29">
        <v>8.2330000000000005</v>
      </c>
      <c r="BR29">
        <v>8.1020000000000003</v>
      </c>
      <c r="BS29">
        <v>8.0839999999999996</v>
      </c>
      <c r="BT29">
        <v>8.1829999999999998</v>
      </c>
      <c r="BU29">
        <v>8.8439999999999994</v>
      </c>
      <c r="BV29">
        <v>8.8529999999999998</v>
      </c>
      <c r="BW29">
        <v>8.8529999999999998</v>
      </c>
      <c r="BX29">
        <v>8.5120000000000005</v>
      </c>
      <c r="BY29">
        <v>8.3379999999999992</v>
      </c>
      <c r="BZ29">
        <v>8.5429999999999993</v>
      </c>
      <c r="CA29">
        <v>7.8620000000000001</v>
      </c>
      <c r="CB29">
        <v>7.8879999999999999</v>
      </c>
      <c r="CC29">
        <v>7.7370000000000001</v>
      </c>
      <c r="CD29">
        <v>8.0920000000000005</v>
      </c>
      <c r="CE29">
        <v>8.0510000000000002</v>
      </c>
      <c r="CF29">
        <v>7.9409999999999998</v>
      </c>
      <c r="CG29">
        <v>8.06</v>
      </c>
      <c r="CH29">
        <v>8.3480000000000008</v>
      </c>
      <c r="CI29">
        <v>8.1389999999999993</v>
      </c>
      <c r="CJ29">
        <v>8.484</v>
      </c>
      <c r="CK29">
        <v>8.4779999999999998</v>
      </c>
      <c r="CL29">
        <v>8.43</v>
      </c>
      <c r="CM29">
        <v>8.43</v>
      </c>
      <c r="CN29">
        <v>9.73</v>
      </c>
      <c r="CO29">
        <v>9.73</v>
      </c>
      <c r="CS29">
        <v>9.9830000000000005</v>
      </c>
      <c r="CT29">
        <v>7.7859999999999996</v>
      </c>
      <c r="CU29">
        <v>8.4480000000000004</v>
      </c>
      <c r="CV29">
        <v>8.3770000000000007</v>
      </c>
      <c r="CY29">
        <v>8.3350000000000009</v>
      </c>
      <c r="CZ29" s="56">
        <v>6.7883464161626579</v>
      </c>
    </row>
    <row r="30" spans="2:108" x14ac:dyDescent="0.35">
      <c r="C30" t="s">
        <v>278</v>
      </c>
      <c r="D30" s="56">
        <f>SUMPRODUCT(D18:D29,$B$18:$B$29)/SUM($B$18:$B$29)</f>
        <v>7.1962101300479118</v>
      </c>
      <c r="E30" s="56">
        <f t="shared" ref="E30:BP30" si="37">SUMPRODUCT(E18:E29,$B$18:$B$29)/SUM($B$18:$B$29)</f>
        <v>7.1962101300479118</v>
      </c>
      <c r="F30" s="56">
        <f t="shared" si="37"/>
        <v>7.6024277891854899</v>
      </c>
      <c r="G30" s="56">
        <f t="shared" si="37"/>
        <v>7.6701800136892526</v>
      </c>
      <c r="H30" s="56">
        <f t="shared" si="37"/>
        <v>6.3745557837097868</v>
      </c>
      <c r="I30" s="56">
        <f t="shared" si="37"/>
        <v>6.3745557837097868</v>
      </c>
      <c r="J30" s="56">
        <f t="shared" si="37"/>
        <v>6.3745557837097868</v>
      </c>
      <c r="K30" s="56">
        <f t="shared" si="37"/>
        <v>6.3745557837097868</v>
      </c>
      <c r="L30" s="56">
        <f t="shared" si="37"/>
        <v>8.6337241615331966</v>
      </c>
      <c r="M30" s="56">
        <f t="shared" si="37"/>
        <v>8.6337241615331966</v>
      </c>
      <c r="N30" s="56">
        <f t="shared" si="37"/>
        <v>8.6337241615331966</v>
      </c>
      <c r="O30" s="56">
        <f t="shared" si="37"/>
        <v>8.2782511978097197</v>
      </c>
      <c r="P30" s="56">
        <f t="shared" si="37"/>
        <v>7.2801334702258726</v>
      </c>
      <c r="Q30" s="56">
        <f t="shared" si="37"/>
        <v>7.783503080082137</v>
      </c>
      <c r="R30" s="56">
        <f t="shared" si="37"/>
        <v>7.5622340862423014</v>
      </c>
      <c r="S30" s="56">
        <f t="shared" si="37"/>
        <v>7.5622340862423014</v>
      </c>
      <c r="T30" s="56">
        <f t="shared" si="37"/>
        <v>7.5622340862423014</v>
      </c>
      <c r="U30" s="56">
        <f t="shared" si="37"/>
        <v>6.9043997262149208</v>
      </c>
      <c r="V30" s="56">
        <f t="shared" si="37"/>
        <v>7.5949637234770693</v>
      </c>
      <c r="W30" s="56">
        <f t="shared" si="37"/>
        <v>7.5949637234770693</v>
      </c>
      <c r="X30" s="56">
        <f t="shared" si="37"/>
        <v>7.5949637234770693</v>
      </c>
      <c r="Y30" s="56">
        <f t="shared" si="37"/>
        <v>7.5949637234770693</v>
      </c>
      <c r="Z30" s="56">
        <f t="shared" si="37"/>
        <v>7.5114339493497608</v>
      </c>
      <c r="AA30" s="56">
        <f t="shared" si="37"/>
        <v>6.7526392881587967</v>
      </c>
      <c r="AB30" s="56">
        <f t="shared" si="37"/>
        <v>6.7526392881587967</v>
      </c>
      <c r="AC30" s="56">
        <f t="shared" si="37"/>
        <v>6.7526392881587967</v>
      </c>
      <c r="AD30" s="56">
        <f t="shared" si="37"/>
        <v>6.7526392881587967</v>
      </c>
      <c r="AE30" s="56">
        <f t="shared" si="37"/>
        <v>7.4585448323066386</v>
      </c>
      <c r="AF30" s="56">
        <f t="shared" si="37"/>
        <v>7.4585448323066386</v>
      </c>
      <c r="AG30" s="56">
        <f t="shared" si="37"/>
        <v>7.0160841889117025</v>
      </c>
      <c r="AH30" s="56">
        <f t="shared" si="37"/>
        <v>7.0160841889117025</v>
      </c>
      <c r="AI30" s="56">
        <f t="shared" si="37"/>
        <v>6.7384989733059548</v>
      </c>
      <c r="AJ30" s="56">
        <f t="shared" si="37"/>
        <v>7.8667049965776874</v>
      </c>
      <c r="AK30" s="56">
        <f t="shared" si="37"/>
        <v>7.6934257357973994</v>
      </c>
      <c r="AL30" s="56">
        <f t="shared" si="37"/>
        <v>6.8509582477754964</v>
      </c>
      <c r="AM30" s="56">
        <f t="shared" si="37"/>
        <v>7.0621273100616015</v>
      </c>
      <c r="AN30" s="56">
        <f t="shared" si="37"/>
        <v>7.0621273100616015</v>
      </c>
      <c r="AO30" s="56">
        <f t="shared" si="37"/>
        <v>6.822483230663928</v>
      </c>
      <c r="AP30" s="56">
        <f t="shared" si="37"/>
        <v>6.822483230663928</v>
      </c>
      <c r="AQ30" s="56">
        <f t="shared" si="37"/>
        <v>6.822483230663928</v>
      </c>
      <c r="AR30" s="56">
        <f t="shared" si="37"/>
        <v>7.021605065023957</v>
      </c>
      <c r="AS30" s="56">
        <f t="shared" si="37"/>
        <v>6.8013559206023277</v>
      </c>
      <c r="AT30" s="56">
        <f t="shared" si="37"/>
        <v>6.8013559206023277</v>
      </c>
      <c r="AU30" s="56">
        <f t="shared" si="37"/>
        <v>6.8013559206023277</v>
      </c>
      <c r="AV30" s="56">
        <f t="shared" si="37"/>
        <v>6.7200807665982216</v>
      </c>
      <c r="AW30" s="56">
        <f t="shared" si="37"/>
        <v>7.064126625598905</v>
      </c>
      <c r="AX30" s="56">
        <f t="shared" si="37"/>
        <v>7.064126625598905</v>
      </c>
      <c r="AY30" s="56">
        <f t="shared" si="37"/>
        <v>7.064126625598905</v>
      </c>
      <c r="AZ30" s="56">
        <f t="shared" si="37"/>
        <v>8.5129356605065034</v>
      </c>
      <c r="BA30" s="56">
        <f t="shared" si="37"/>
        <v>8.5129356605065034</v>
      </c>
      <c r="BB30" s="56">
        <f t="shared" si="37"/>
        <v>6.822748802190282</v>
      </c>
      <c r="BC30" s="56">
        <f t="shared" si="37"/>
        <v>6.822483230663928</v>
      </c>
      <c r="BD30" s="56">
        <f t="shared" si="37"/>
        <v>4.2609733059548249</v>
      </c>
      <c r="BE30" s="56">
        <f t="shared" si="37"/>
        <v>6.6040246406570855</v>
      </c>
      <c r="BF30" s="56">
        <f t="shared" si="37"/>
        <v>6.6040246406570855</v>
      </c>
      <c r="BG30" s="56">
        <f t="shared" si="37"/>
        <v>6.9224579055441486</v>
      </c>
      <c r="BH30" s="56">
        <f t="shared" si="37"/>
        <v>7.2601225188227234</v>
      </c>
      <c r="BI30" s="56">
        <f t="shared" si="37"/>
        <v>7.2601225188227234</v>
      </c>
      <c r="BJ30" s="56">
        <f t="shared" si="37"/>
        <v>7.2584366872005495</v>
      </c>
      <c r="BK30" s="56">
        <f t="shared" si="37"/>
        <v>7.2584366872005495</v>
      </c>
      <c r="BL30" s="56">
        <f t="shared" si="37"/>
        <v>7.2032888432580435</v>
      </c>
      <c r="BM30" s="56">
        <f t="shared" si="37"/>
        <v>7.2899746748802183</v>
      </c>
      <c r="BN30" s="56">
        <f t="shared" si="37"/>
        <v>7.272796714579056</v>
      </c>
      <c r="BO30" s="56">
        <f t="shared" si="37"/>
        <v>6.929765229295004</v>
      </c>
      <c r="BP30" s="56">
        <f t="shared" si="37"/>
        <v>6.8752073921971251</v>
      </c>
      <c r="BQ30" s="56">
        <f t="shared" ref="BQ30:CY30" si="38">SUMPRODUCT(BQ18:BQ29,$B$18:$B$29)/SUM($B$18:$B$29)</f>
        <v>6.8752073921971251</v>
      </c>
      <c r="BR30" s="56">
        <f t="shared" si="38"/>
        <v>6.9581190965092405</v>
      </c>
      <c r="BS30" s="56">
        <f t="shared" si="38"/>
        <v>6.9472012320328531</v>
      </c>
      <c r="BT30" s="56">
        <f t="shared" si="38"/>
        <v>6.8997802874743313</v>
      </c>
      <c r="BU30" s="56">
        <f t="shared" si="38"/>
        <v>7.5266276522929516</v>
      </c>
      <c r="BV30" s="56">
        <f t="shared" si="38"/>
        <v>7.5335742642026009</v>
      </c>
      <c r="BW30" s="56">
        <f t="shared" si="38"/>
        <v>7.5335742642026009</v>
      </c>
      <c r="BX30" s="56">
        <f t="shared" si="38"/>
        <v>7.240082819986311</v>
      </c>
      <c r="BY30" s="56">
        <f t="shared" si="38"/>
        <v>7.1725311430527032</v>
      </c>
      <c r="BZ30" s="56">
        <f t="shared" si="38"/>
        <v>8.1129979466119089</v>
      </c>
      <c r="CA30" s="56">
        <f t="shared" si="38"/>
        <v>6.7029014373716649</v>
      </c>
      <c r="CB30" s="56">
        <f t="shared" si="38"/>
        <v>6.6913552361396302</v>
      </c>
      <c r="CC30" s="56">
        <f t="shared" si="38"/>
        <v>6.7023812457221092</v>
      </c>
      <c r="CD30" s="56">
        <f t="shared" si="38"/>
        <v>6.8168637919233399</v>
      </c>
      <c r="CE30" s="56">
        <f t="shared" si="38"/>
        <v>6.814661875427789</v>
      </c>
      <c r="CF30" s="56">
        <f t="shared" si="38"/>
        <v>6.7183771389459279</v>
      </c>
      <c r="CG30" s="56">
        <f t="shared" si="38"/>
        <v>6.8295653661875431</v>
      </c>
      <c r="CH30" s="56">
        <f t="shared" si="38"/>
        <v>7.2202416153319655</v>
      </c>
      <c r="CI30" s="56">
        <f t="shared" si="38"/>
        <v>7.0100602327173167</v>
      </c>
      <c r="CJ30" s="56">
        <f t="shared" si="38"/>
        <v>7.2507091033538673</v>
      </c>
      <c r="CK30" s="56">
        <f t="shared" si="38"/>
        <v>7.2143456536618755</v>
      </c>
      <c r="CL30" s="56">
        <f t="shared" si="38"/>
        <v>7.229557837097877</v>
      </c>
      <c r="CM30" s="56">
        <f t="shared" si="38"/>
        <v>7.229557837097877</v>
      </c>
      <c r="CN30" s="56">
        <f t="shared" si="38"/>
        <v>8.5129356605065034</v>
      </c>
      <c r="CO30" s="56">
        <f t="shared" si="38"/>
        <v>8.5129356605065034</v>
      </c>
      <c r="CP30" s="56"/>
      <c r="CQ30" s="56"/>
      <c r="CR30" s="56"/>
      <c r="CS30" s="56">
        <f t="shared" si="38"/>
        <v>8.6337241615331966</v>
      </c>
      <c r="CT30" s="56">
        <f t="shared" si="38"/>
        <v>6.8368569472963729</v>
      </c>
      <c r="CU30" s="56">
        <f t="shared" si="38"/>
        <v>7.2735660506502402</v>
      </c>
      <c r="CV30" s="56">
        <f t="shared" si="38"/>
        <v>7.0284907597535931</v>
      </c>
      <c r="CW30" s="56"/>
      <c r="CX30" s="56"/>
      <c r="CY30" s="56">
        <f t="shared" si="38"/>
        <v>7.2284825462012332</v>
      </c>
      <c r="CZ30" s="56">
        <f>SUMPRODUCT(CZ18:CZ29,$B$18:$B$29)/SUM($B$18:$B$29)</f>
        <v>6.1473033763978506</v>
      </c>
    </row>
    <row r="31" spans="2:108" x14ac:dyDescent="0.35">
      <c r="C31" s="63" t="s">
        <v>279</v>
      </c>
      <c r="D31">
        <v>2.09</v>
      </c>
      <c r="E31">
        <v>2.09</v>
      </c>
      <c r="F31">
        <v>2.6</v>
      </c>
      <c r="G31">
        <v>2.5</v>
      </c>
      <c r="H31">
        <v>2.2999999999999998</v>
      </c>
      <c r="I31">
        <v>2.2999999999999998</v>
      </c>
      <c r="J31">
        <v>2.2999999999999998</v>
      </c>
      <c r="K31">
        <v>2.2999999999999998</v>
      </c>
      <c r="L31">
        <v>1.76</v>
      </c>
      <c r="M31">
        <v>1.76</v>
      </c>
      <c r="N31">
        <v>1.89</v>
      </c>
      <c r="O31">
        <v>2</v>
      </c>
      <c r="P31">
        <v>2.08</v>
      </c>
      <c r="Q31">
        <v>2.35</v>
      </c>
      <c r="R31">
        <v>2.5</v>
      </c>
      <c r="S31">
        <v>2.5</v>
      </c>
      <c r="T31">
        <v>2.5</v>
      </c>
      <c r="U31">
        <v>2.42</v>
      </c>
      <c r="V31">
        <v>2</v>
      </c>
      <c r="W31">
        <v>2</v>
      </c>
      <c r="X31">
        <v>2</v>
      </c>
      <c r="Y31">
        <v>2</v>
      </c>
      <c r="Z31">
        <v>2.2200000000000002</v>
      </c>
      <c r="AA31">
        <v>2.39</v>
      </c>
      <c r="AB31">
        <v>2.39</v>
      </c>
      <c r="AC31">
        <v>2.39</v>
      </c>
      <c r="AD31">
        <v>2.39</v>
      </c>
      <c r="AE31">
        <v>2.3199999999999998</v>
      </c>
      <c r="AF31">
        <v>2.3199999999999998</v>
      </c>
      <c r="AG31">
        <v>2.36</v>
      </c>
      <c r="AH31">
        <v>2.36</v>
      </c>
      <c r="AI31">
        <v>2.14</v>
      </c>
      <c r="AJ31">
        <v>2.62</v>
      </c>
      <c r="AK31">
        <v>2.65</v>
      </c>
      <c r="AL31">
        <v>2.5</v>
      </c>
      <c r="AM31">
        <v>2.5299999999999998</v>
      </c>
      <c r="AN31">
        <v>2.5299999999999998</v>
      </c>
      <c r="AO31">
        <v>2.29</v>
      </c>
      <c r="AP31">
        <v>2.29</v>
      </c>
      <c r="AQ31">
        <v>2.29</v>
      </c>
      <c r="AR31">
        <v>2.54</v>
      </c>
      <c r="AS31">
        <v>2.5</v>
      </c>
      <c r="AT31">
        <v>2.5</v>
      </c>
      <c r="AU31">
        <v>2.5</v>
      </c>
      <c r="AV31">
        <v>2.33</v>
      </c>
      <c r="AW31">
        <v>2.59</v>
      </c>
      <c r="AX31">
        <v>2.59</v>
      </c>
      <c r="AY31">
        <v>2.59</v>
      </c>
      <c r="AZ31">
        <v>2.0099999999999998</v>
      </c>
      <c r="BA31">
        <v>2.0099999999999998</v>
      </c>
      <c r="BB31">
        <v>2.38</v>
      </c>
      <c r="BC31">
        <v>2.31</v>
      </c>
      <c r="BD31">
        <v>2.44</v>
      </c>
      <c r="BE31">
        <v>2</v>
      </c>
      <c r="BF31">
        <v>2</v>
      </c>
      <c r="BG31">
        <v>1.8</v>
      </c>
      <c r="BH31">
        <v>2.2000000000000002</v>
      </c>
      <c r="BI31">
        <v>2.2000000000000002</v>
      </c>
      <c r="BJ31">
        <v>1.8</v>
      </c>
      <c r="BK31">
        <v>1.8</v>
      </c>
      <c r="BL31">
        <v>1.92</v>
      </c>
      <c r="BM31">
        <v>2.1</v>
      </c>
      <c r="BN31">
        <v>2</v>
      </c>
      <c r="BO31">
        <v>2</v>
      </c>
      <c r="BP31">
        <v>2.2999999999999998</v>
      </c>
      <c r="BQ31">
        <v>2.2999999999999998</v>
      </c>
      <c r="BR31">
        <v>2.2400000000000002</v>
      </c>
      <c r="BS31">
        <v>2.2400000000000002</v>
      </c>
      <c r="BT31">
        <v>2.1</v>
      </c>
      <c r="BU31">
        <v>2.2999999999999998</v>
      </c>
      <c r="BV31">
        <v>2.1</v>
      </c>
      <c r="BW31">
        <v>2.1</v>
      </c>
      <c r="BX31">
        <v>2.2599999999999998</v>
      </c>
      <c r="BY31">
        <v>2.2000000000000002</v>
      </c>
      <c r="BZ31">
        <v>2.1</v>
      </c>
      <c r="CA31">
        <v>2.1</v>
      </c>
      <c r="CB31">
        <v>2.2999999999999998</v>
      </c>
      <c r="CC31">
        <v>2.1</v>
      </c>
      <c r="CD31">
        <v>2.14</v>
      </c>
      <c r="CE31">
        <v>1.85</v>
      </c>
      <c r="CF31">
        <v>2.1</v>
      </c>
      <c r="CG31">
        <v>2.02</v>
      </c>
      <c r="CH31">
        <v>2</v>
      </c>
      <c r="CI31">
        <v>1.8</v>
      </c>
      <c r="CJ31">
        <v>1.7</v>
      </c>
      <c r="CK31">
        <v>1.9</v>
      </c>
      <c r="CL31">
        <v>2.2000000000000002</v>
      </c>
      <c r="CM31">
        <v>2.2000000000000002</v>
      </c>
      <c r="CN31">
        <v>2.0099999999999998</v>
      </c>
      <c r="CO31">
        <v>2.0099999999999998</v>
      </c>
      <c r="CS31">
        <v>1.73</v>
      </c>
      <c r="CT31">
        <v>2</v>
      </c>
      <c r="CU31">
        <v>2.1</v>
      </c>
      <c r="CV31">
        <v>1.9</v>
      </c>
      <c r="CY31">
        <v>2.11</v>
      </c>
      <c r="CZ31">
        <v>2</v>
      </c>
      <c r="DA31">
        <v>1.83</v>
      </c>
      <c r="DB31">
        <v>1.89</v>
      </c>
      <c r="DC31">
        <v>2.2200000000000002</v>
      </c>
      <c r="DD31">
        <v>1.97</v>
      </c>
    </row>
    <row r="33" spans="1:110" s="247" customFormat="1" ht="29" x14ac:dyDescent="0.35">
      <c r="A33" s="247" t="s">
        <v>394</v>
      </c>
      <c r="C33" s="248" t="s">
        <v>396</v>
      </c>
      <c r="D33" s="249">
        <f>'Budget 2022'!T3</f>
        <v>17000000</v>
      </c>
      <c r="E33" s="249">
        <f>'Budget 2022'!T4</f>
        <v>10600000.000000002</v>
      </c>
      <c r="F33" s="249">
        <f>'Budget 2022'!T5</f>
        <v>5955806.7831449136</v>
      </c>
      <c r="G33" s="249">
        <f>'Budget 2022'!T6</f>
        <v>17700000.261780106</v>
      </c>
      <c r="H33" s="249">
        <f>'Budget 2022'!T7</f>
        <v>18896831.535788734</v>
      </c>
      <c r="I33" s="249">
        <f>'Budget 2022'!T8</f>
        <v>12584122.271967255</v>
      </c>
      <c r="J33" s="249">
        <f>'Budget 2022'!T9</f>
        <v>16344528.634079646</v>
      </c>
      <c r="K33" s="249">
        <f>'Budget 2022'!T10</f>
        <v>19786219.685823932</v>
      </c>
      <c r="L33" s="250"/>
      <c r="M33" s="250"/>
      <c r="N33" s="249">
        <f>'Budget 2022'!T13</f>
        <v>12329100.529100532</v>
      </c>
      <c r="O33" s="249">
        <f>'Budget 2022'!T14</f>
        <v>18541000</v>
      </c>
      <c r="P33" s="249">
        <f>'Budget 2022'!T15</f>
        <v>29661474.558670819</v>
      </c>
      <c r="Q33" s="249">
        <f>'Budget 2022'!T16</f>
        <v>19599999.999999996</v>
      </c>
      <c r="R33" s="249">
        <f>'Budget 2022'!T17</f>
        <v>25493854.824375607</v>
      </c>
      <c r="S33" s="249">
        <f>'Budget 2022'!T18</f>
        <v>12637262.679501656</v>
      </c>
      <c r="T33" s="249">
        <f>'Budget 2022'!T19</f>
        <v>24720387.587788809</v>
      </c>
      <c r="U33" s="249">
        <f>'Budget 2022'!T20</f>
        <v>24365258.102253318</v>
      </c>
      <c r="V33" s="249">
        <f>'Budget 2022'!T21</f>
        <v>25111496.895193432</v>
      </c>
      <c r="W33" s="249">
        <f>'Budget 2022'!T22</f>
        <v>25783202.843433682</v>
      </c>
      <c r="X33" s="249">
        <f>'Budget 2022'!T23</f>
        <v>12722380.645959811</v>
      </c>
      <c r="Y33" s="249">
        <f>'Budget 2022'!T24</f>
        <v>31958174.925503239</v>
      </c>
      <c r="Z33" s="249">
        <f>'Budget 2022'!T25</f>
        <v>19634800</v>
      </c>
      <c r="AA33" s="249">
        <f>'Budget 2022'!T26</f>
        <v>38492043.651489906</v>
      </c>
      <c r="AB33" s="249">
        <f>'Budget 2022'!T27</f>
        <v>9844355.6487649176</v>
      </c>
      <c r="AC33" s="249">
        <f>'Budget 2022'!T28</f>
        <v>7831097.81900704</v>
      </c>
      <c r="AD33" s="249">
        <f>'Budget 2022'!T29</f>
        <v>9265571.5608781129</v>
      </c>
      <c r="AE33" s="249">
        <f>'Budget 2022'!T30</f>
        <v>26564501.71736687</v>
      </c>
      <c r="AF33" s="249">
        <f>'Budget 2022'!T31</f>
        <v>27914207.326431185</v>
      </c>
      <c r="AG33" s="249">
        <f>'Budget 2022'!T32</f>
        <v>26849770.405879464</v>
      </c>
      <c r="AH33" s="249">
        <f>'Budget 2022'!T33</f>
        <v>25366595.334861275</v>
      </c>
      <c r="AI33" s="249">
        <f>'Budget 2022'!T34</f>
        <v>33264321.608040191</v>
      </c>
      <c r="AJ33" s="249">
        <f>'Budget 2022'!T35</f>
        <v>9300000.0000000019</v>
      </c>
      <c r="AK33" s="249">
        <f>'Budget 2022'!T36</f>
        <v>14200000.000000002</v>
      </c>
      <c r="AL33" s="249">
        <f>'Budget 2022'!T37</f>
        <v>19938335.046248715</v>
      </c>
      <c r="AM33" s="249">
        <f>'Budget 2022'!T38</f>
        <v>20744830.172902189</v>
      </c>
      <c r="AN33" s="249">
        <f>'Budget 2022'!T39</f>
        <v>18611664.800919823</v>
      </c>
      <c r="AO33" s="249">
        <f>'Budget 2022'!T40</f>
        <v>29574732.909116253</v>
      </c>
      <c r="AP33" s="249">
        <f>'Budget 2022'!T41</f>
        <v>14660147.357992103</v>
      </c>
      <c r="AQ33" s="249">
        <f>'Budget 2022'!T42</f>
        <v>28677454.44363543</v>
      </c>
      <c r="AR33" s="249">
        <f>'Budget 2022'!T43</f>
        <v>16388108.108108111</v>
      </c>
      <c r="AS33" s="249">
        <f>'Budget 2022'!T44</f>
        <v>20443676.617694791</v>
      </c>
      <c r="AT33" s="249">
        <f>'Budget 2022'!T45</f>
        <v>6444738.8461837489</v>
      </c>
      <c r="AU33" s="249">
        <f>'Budget 2022'!T46</f>
        <v>20579744.53612145</v>
      </c>
      <c r="AV33" s="249">
        <f>'Budget 2022'!T47</f>
        <v>23058277.314343844</v>
      </c>
      <c r="AW33" s="249">
        <f>'Budget 2022'!T48</f>
        <v>26977703.873921111</v>
      </c>
      <c r="AX33" s="249">
        <f>'Budget 2022'!T49</f>
        <v>25422259.631184917</v>
      </c>
      <c r="AY33" s="249">
        <f>'Budget 2022'!T50</f>
        <v>24838877.146765247</v>
      </c>
      <c r="AZ33" s="249">
        <f>'Budget 2022'!T51</f>
        <v>28703226.749079108</v>
      </c>
      <c r="BA33" s="249">
        <f>'Budget 2022'!T52</f>
        <v>14585658.655466354</v>
      </c>
      <c r="BB33" s="249">
        <f>'Budget 2022'!T53</f>
        <v>18443859.06340206</v>
      </c>
      <c r="BC33" s="249">
        <f>'Budget 2022'!T54</f>
        <v>24211964.819536019</v>
      </c>
      <c r="BD33" s="249">
        <f>'Budget 2022'!T55</f>
        <v>30005070.281124499</v>
      </c>
      <c r="BE33" s="249">
        <f>'Budget 2022'!T56</f>
        <v>25359206.708429851</v>
      </c>
      <c r="BF33" s="249">
        <f>'Budget 2022'!T57</f>
        <v>8307433.307602209</v>
      </c>
      <c r="BG33" s="249">
        <f>'Budget 2022'!T58</f>
        <v>29020801.999999996</v>
      </c>
      <c r="BH33" s="249">
        <f>'Budget 2022'!T59</f>
        <v>32496047.094863426</v>
      </c>
      <c r="BI33" s="249">
        <f>'Budget 2022'!T60</f>
        <v>33074213.59014513</v>
      </c>
      <c r="BJ33" s="249">
        <f>'Budget 2022'!T61</f>
        <v>34453914.281321339</v>
      </c>
      <c r="BK33" s="249">
        <f>'Budget 2022'!T62</f>
        <v>24707382.499037698</v>
      </c>
      <c r="BL33" s="249">
        <f>'Budget 2022'!T63</f>
        <v>75261789.741897106</v>
      </c>
      <c r="BM33" s="249">
        <f>'Budget 2022'!T64</f>
        <v>74446211.529635102</v>
      </c>
      <c r="BN33" s="249">
        <f>'Budget 2022'!T65</f>
        <v>52144854.748621203</v>
      </c>
      <c r="BO33" s="249">
        <f>'Budget 2022'!T66</f>
        <v>26768622.603924207</v>
      </c>
      <c r="BP33" s="249">
        <f>'Budget 2022'!T67</f>
        <v>25772070.082041726</v>
      </c>
      <c r="BQ33" s="251">
        <f>'Budget 2022'!T68</f>
        <v>23844189.554809846</v>
      </c>
      <c r="BR33" s="275">
        <v>23745559.03866249</v>
      </c>
      <c r="BS33" s="275"/>
      <c r="BT33" s="252">
        <f>'Budget 2022'!T71</f>
        <v>17502526.096033402</v>
      </c>
      <c r="BU33" s="249">
        <f>'Budget 2022'!T72</f>
        <v>28469800.000000011</v>
      </c>
      <c r="BV33" s="249">
        <f>'Budget 2022'!T73</f>
        <v>24994543.518364608</v>
      </c>
      <c r="BW33" s="249">
        <f>'Budget 2022'!T74</f>
        <v>11800558.036039554</v>
      </c>
      <c r="BX33" s="249">
        <v>18700000</v>
      </c>
      <c r="BY33" s="249">
        <f>'Budget 2022'!T76</f>
        <v>20727818.756585885</v>
      </c>
      <c r="BZ33" s="249">
        <f>'Budget 2022'!T77</f>
        <v>9073503.1512605026</v>
      </c>
      <c r="CA33" s="249">
        <f>'Budget 2022'!T78</f>
        <v>20745053.00207039</v>
      </c>
      <c r="CB33" s="249">
        <f>'Budget 2022'!T79</f>
        <v>15412617.187499998</v>
      </c>
      <c r="CC33" s="249">
        <f>'Budget 2022'!T80</f>
        <v>18650180.972078592</v>
      </c>
      <c r="CD33" s="249">
        <f>'Budget 2022'!T81</f>
        <v>16848421.487603307</v>
      </c>
      <c r="CE33" s="249">
        <f>'Budget 2022'!T82</f>
        <v>20734718.569999255</v>
      </c>
      <c r="CF33" s="249">
        <v>21600000</v>
      </c>
      <c r="CG33" s="249">
        <f>'Budget 2022'!T84</f>
        <v>21783066.410300232</v>
      </c>
      <c r="CH33" s="249">
        <f>'Budget 2022'!T85</f>
        <v>23352611.011893734</v>
      </c>
      <c r="CI33" s="249">
        <f>'Budget 2022'!T86</f>
        <v>45610801.031958766</v>
      </c>
      <c r="CJ33" s="249">
        <f>'Budget 2022'!T87</f>
        <v>33534789.110135626</v>
      </c>
      <c r="CK33" s="249">
        <f>'Budget 2022'!T88</f>
        <v>59438978.149664618</v>
      </c>
      <c r="CL33" s="249">
        <f>'Budget 2022'!T89</f>
        <v>30171757.153553683</v>
      </c>
      <c r="CM33" s="249">
        <f>'Budget 2022'!T90</f>
        <v>15386566.297188109</v>
      </c>
      <c r="CN33" s="249">
        <f>'Budget 2022'!T91</f>
        <v>23891986.428088885</v>
      </c>
      <c r="CO33" s="249">
        <f>'Budget 2022'!T92</f>
        <v>32328322.581532143</v>
      </c>
      <c r="CP33" s="249">
        <f>'Budget 2022'!T93</f>
        <v>14962622.4</v>
      </c>
      <c r="CQ33" s="249">
        <f>'Budget 2022'!T94</f>
        <v>5891054.4000000004</v>
      </c>
      <c r="CR33" s="249">
        <f>'Budget 2022'!T95</f>
        <v>0</v>
      </c>
      <c r="CS33" s="249">
        <f>'Budget 2022'!T96</f>
        <v>97100000</v>
      </c>
      <c r="CT33" s="249">
        <f>'Budget 2022'!T97</f>
        <v>30321389.69072165</v>
      </c>
      <c r="CU33" s="251">
        <f>'Budget 2022'!T98</f>
        <v>44101664.38951683</v>
      </c>
      <c r="CV33" s="251">
        <f>'Budget 2022'!T99</f>
        <v>40222762.886597939</v>
      </c>
      <c r="CW33" s="251">
        <f>'Budget 2022'!T100</f>
        <v>16572000</v>
      </c>
      <c r="CX33" s="251">
        <f>'Budget 2022'!T101</f>
        <v>22798800</v>
      </c>
      <c r="CY33" s="251">
        <f>'Budget 2022'!T102</f>
        <v>32210811.585470118</v>
      </c>
      <c r="CZ33" s="251">
        <f>'Budget 2022'!T103</f>
        <v>24437403.141361259</v>
      </c>
      <c r="DA33" s="272">
        <v>42230610.134436399</v>
      </c>
      <c r="DB33" s="273">
        <v>40926577.042399175</v>
      </c>
      <c r="DC33" s="273">
        <v>55772492.244053774</v>
      </c>
      <c r="DD33" s="273">
        <v>48249224.405377455</v>
      </c>
      <c r="DE33" s="253" t="s">
        <v>395</v>
      </c>
      <c r="DF33" s="254">
        <f>SUM(D33:BQ33)+SUM(BR34:BS34)+SUM(BT33:BW33)+BX34+SUM(BY33:CE33)+CF34+SUM(CG33:CZ33)+SUM(DA34:DD34)-SUM('Budget 2022'!T3:T107)</f>
        <v>0</v>
      </c>
    </row>
    <row r="34" spans="1:110" s="261" customFormat="1" ht="29" x14ac:dyDescent="0.35">
      <c r="A34" s="255"/>
      <c r="B34" s="256"/>
      <c r="C34" s="257" t="s">
        <v>397</v>
      </c>
      <c r="D34" s="258"/>
      <c r="E34" s="258"/>
      <c r="F34" s="258"/>
      <c r="G34" s="258"/>
      <c r="H34" s="258"/>
      <c r="I34" s="258"/>
      <c r="J34" s="258"/>
      <c r="K34" s="258"/>
      <c r="L34" s="258"/>
      <c r="M34" s="258"/>
      <c r="N34" s="258"/>
      <c r="O34" s="258"/>
      <c r="P34" s="258"/>
      <c r="Q34" s="258"/>
      <c r="R34" s="258"/>
      <c r="S34" s="258"/>
      <c r="T34" s="258"/>
      <c r="U34" s="258"/>
      <c r="V34" s="258"/>
      <c r="W34" s="258"/>
      <c r="X34" s="258"/>
      <c r="Y34" s="258"/>
      <c r="Z34" s="258"/>
      <c r="AA34" s="258"/>
      <c r="AB34" s="258"/>
      <c r="AC34" s="258"/>
      <c r="AD34" s="258"/>
      <c r="AE34" s="258"/>
      <c r="AF34" s="258"/>
      <c r="AG34" s="258"/>
      <c r="AH34" s="258"/>
      <c r="AI34" s="258"/>
      <c r="AJ34" s="258"/>
      <c r="AK34" s="258"/>
      <c r="AL34" s="258"/>
      <c r="AM34" s="258"/>
      <c r="AN34" s="258"/>
      <c r="AO34" s="258"/>
      <c r="AP34" s="258"/>
      <c r="AQ34" s="258"/>
      <c r="AR34" s="258"/>
      <c r="AS34" s="258"/>
      <c r="AT34" s="258"/>
      <c r="AU34" s="258"/>
      <c r="AV34" s="258"/>
      <c r="AW34" s="258"/>
      <c r="AX34" s="258"/>
      <c r="AY34" s="258"/>
      <c r="AZ34" s="258"/>
      <c r="BA34" s="258"/>
      <c r="BB34" s="258"/>
      <c r="BC34" s="258"/>
      <c r="BD34" s="258"/>
      <c r="BE34" s="258"/>
      <c r="BF34" s="258"/>
      <c r="BG34" s="258"/>
      <c r="BH34" s="258"/>
      <c r="BI34" s="258"/>
      <c r="BJ34" s="258"/>
      <c r="BK34" s="258"/>
      <c r="BL34" s="258"/>
      <c r="BM34" s="258"/>
      <c r="BN34" s="258"/>
      <c r="BO34" s="258"/>
      <c r="BP34" s="258"/>
      <c r="BQ34" s="258"/>
      <c r="BR34" s="259">
        <f>'Budget 2022'!T69</f>
        <v>2736752.7023868919</v>
      </c>
      <c r="BS34" s="259">
        <f>'Budget 2022'!T70</f>
        <v>0</v>
      </c>
      <c r="BT34" s="258"/>
      <c r="BU34" s="258"/>
      <c r="BV34" s="258"/>
      <c r="BW34" s="258"/>
      <c r="BX34" s="258">
        <f>'Budget 2022'!T75</f>
        <v>7289450.5546520762</v>
      </c>
      <c r="BY34" s="258"/>
      <c r="BZ34" s="258"/>
      <c r="CA34" s="258"/>
      <c r="CB34" s="258"/>
      <c r="CC34" s="258"/>
      <c r="CD34" s="258"/>
      <c r="CE34" s="258"/>
      <c r="CF34" s="258">
        <f>'Budget 2022'!T83</f>
        <v>11270228.765045892</v>
      </c>
      <c r="CG34" s="258"/>
      <c r="CH34" s="258"/>
      <c r="CI34" s="258"/>
      <c r="CJ34" s="258"/>
      <c r="CK34" s="258"/>
      <c r="CL34" s="258"/>
      <c r="CM34" s="258"/>
      <c r="CN34" s="258"/>
      <c r="CO34" s="258"/>
      <c r="CP34" s="258"/>
      <c r="CQ34" s="258"/>
      <c r="CR34" s="258"/>
      <c r="CS34" s="258"/>
      <c r="CT34" s="258"/>
      <c r="CU34" s="258"/>
      <c r="CV34" s="259"/>
      <c r="CW34" s="259"/>
      <c r="CX34" s="259"/>
      <c r="CY34" s="259"/>
      <c r="CZ34" s="260"/>
      <c r="DA34" s="260">
        <f>'Budget 2022'!T104</f>
        <v>17821317.476732161</v>
      </c>
      <c r="DB34" s="274">
        <f>'Budget 2022'!T105</f>
        <v>19644756.980351601</v>
      </c>
      <c r="DC34" s="274">
        <f>'Budget 2022'!T106</f>
        <v>29782510.858324714</v>
      </c>
      <c r="DD34" s="274">
        <f>'Budget 2022'!T107</f>
        <v>11145570.837642191</v>
      </c>
    </row>
    <row r="35" spans="1:110" x14ac:dyDescent="0.35">
      <c r="D35" s="59"/>
      <c r="E35" s="59"/>
    </row>
    <row r="36" spans="1:110" x14ac:dyDescent="0.35">
      <c r="C36" s="63" t="s">
        <v>264</v>
      </c>
      <c r="D36" s="262">
        <f>D$33*D3</f>
        <v>1684549.4876510985</v>
      </c>
      <c r="E36" s="262">
        <f t="shared" ref="E36:BP40" si="39">E$33*E3</f>
        <v>1050366.1511236264</v>
      </c>
      <c r="F36" s="262">
        <f t="shared" si="39"/>
        <v>794808.82804792712</v>
      </c>
      <c r="G36" s="262">
        <f t="shared" si="39"/>
        <v>2344355.8761508954</v>
      </c>
      <c r="H36" s="262">
        <f t="shared" si="39"/>
        <v>2210551.4143048842</v>
      </c>
      <c r="I36" s="262">
        <f t="shared" si="39"/>
        <v>1472090.6641623252</v>
      </c>
      <c r="J36" s="262">
        <f t="shared" si="39"/>
        <v>1911983.0125904435</v>
      </c>
      <c r="K36" s="262">
        <f t="shared" si="39"/>
        <v>2314592.0429786821</v>
      </c>
      <c r="L36" s="263">
        <f t="shared" si="39"/>
        <v>0</v>
      </c>
      <c r="M36" s="263">
        <f t="shared" si="39"/>
        <v>0</v>
      </c>
      <c r="N36" s="262">
        <f t="shared" si="39"/>
        <v>1380687.3592401994</v>
      </c>
      <c r="O36" s="262">
        <f t="shared" si="39"/>
        <v>2257116.0001020995</v>
      </c>
      <c r="P36" s="262">
        <f t="shared" si="39"/>
        <v>3029489.2570452476</v>
      </c>
      <c r="Q36" s="262">
        <f t="shared" si="39"/>
        <v>2549737.4423878733</v>
      </c>
      <c r="R36" s="262">
        <f t="shared" si="39"/>
        <v>3175036.3728609509</v>
      </c>
      <c r="S36" s="262">
        <f t="shared" si="39"/>
        <v>1573860.404290535</v>
      </c>
      <c r="T36" s="262">
        <f t="shared" si="39"/>
        <v>3078707.8016700903</v>
      </c>
      <c r="U36" s="262">
        <f t="shared" si="39"/>
        <v>2857728.937831067</v>
      </c>
      <c r="V36" s="262">
        <f t="shared" si="39"/>
        <v>2999555.6114893607</v>
      </c>
      <c r="W36" s="262">
        <f t="shared" si="39"/>
        <v>3079790.5474919407</v>
      </c>
      <c r="X36" s="262">
        <f t="shared" si="39"/>
        <v>1519681.9376146728</v>
      </c>
      <c r="Y36" s="262">
        <f t="shared" si="39"/>
        <v>3817387.8415468084</v>
      </c>
      <c r="Z36" s="262">
        <f t="shared" si="39"/>
        <v>2444447.1303538587</v>
      </c>
      <c r="AA36" s="262">
        <f t="shared" si="39"/>
        <v>4503440.7834255099</v>
      </c>
      <c r="AB36" s="262">
        <f t="shared" si="39"/>
        <v>1151756.7920423266</v>
      </c>
      <c r="AC36" s="262">
        <f t="shared" si="39"/>
        <v>916212.3377085434</v>
      </c>
      <c r="AD36" s="262">
        <f t="shared" si="39"/>
        <v>1084040.9832952823</v>
      </c>
      <c r="AE36" s="262">
        <f t="shared" si="39"/>
        <v>3275337.094134585</v>
      </c>
      <c r="AF36" s="262">
        <f t="shared" si="39"/>
        <v>3441752.4440088025</v>
      </c>
      <c r="AG36" s="262">
        <f t="shared" si="39"/>
        <v>3239994.9247075859</v>
      </c>
      <c r="AH36" s="262">
        <f t="shared" si="39"/>
        <v>3061018.3588037128</v>
      </c>
      <c r="AI36" s="262">
        <f t="shared" si="39"/>
        <v>3383185.4371166769</v>
      </c>
      <c r="AJ36" s="262">
        <f t="shared" si="39"/>
        <v>1245239.4148945706</v>
      </c>
      <c r="AK36" s="262">
        <f t="shared" si="39"/>
        <v>1801984.5972185379</v>
      </c>
      <c r="AL36" s="262">
        <f t="shared" si="39"/>
        <v>2427105.0058476902</v>
      </c>
      <c r="AM36" s="262">
        <f t="shared" si="39"/>
        <v>2483458.0363410097</v>
      </c>
      <c r="AN36" s="262">
        <f t="shared" si="39"/>
        <v>2228087.100944587</v>
      </c>
      <c r="AO36" s="262">
        <f t="shared" si="39"/>
        <v>3519051.0249842261</v>
      </c>
      <c r="AP36" s="262">
        <f t="shared" si="39"/>
        <v>1744387.9119753479</v>
      </c>
      <c r="AQ36" s="262">
        <f t="shared" si="39"/>
        <v>3412285.2694539959</v>
      </c>
      <c r="AR36" s="262">
        <f t="shared" si="39"/>
        <v>1705078.4410589091</v>
      </c>
      <c r="AS36" s="262">
        <f t="shared" si="39"/>
        <v>2396918.6807481516</v>
      </c>
      <c r="AT36" s="262">
        <f t="shared" si="39"/>
        <v>755613.34792346961</v>
      </c>
      <c r="AU36" s="262">
        <f t="shared" si="39"/>
        <v>2412871.9626174746</v>
      </c>
      <c r="AV36" s="262">
        <f t="shared" si="39"/>
        <v>2750878.6620253208</v>
      </c>
      <c r="AW36" s="262">
        <f t="shared" si="39"/>
        <v>3306210.0323993526</v>
      </c>
      <c r="AX36" s="262">
        <f t="shared" si="39"/>
        <v>3115585.0116709019</v>
      </c>
      <c r="AY36" s="262">
        <f t="shared" si="39"/>
        <v>3044089.4896009564</v>
      </c>
      <c r="AZ36" s="262">
        <f t="shared" si="39"/>
        <v>3168981.5522897649</v>
      </c>
      <c r="BA36" s="262">
        <f t="shared" si="39"/>
        <v>1610330.5600876859</v>
      </c>
      <c r="BB36" s="262">
        <f t="shared" si="39"/>
        <v>2207150.9261205378</v>
      </c>
      <c r="BC36" s="262">
        <f t="shared" si="39"/>
        <v>2888157.5800849721</v>
      </c>
      <c r="BD36" s="262">
        <f t="shared" si="39"/>
        <v>3917473.295707135</v>
      </c>
      <c r="BE36" s="262">
        <f t="shared" si="39"/>
        <v>2950786.2845914913</v>
      </c>
      <c r="BF36" s="262">
        <f t="shared" si="39"/>
        <v>966649.33355673216</v>
      </c>
      <c r="BG36" s="262">
        <f t="shared" si="39"/>
        <v>3221106.5958923837</v>
      </c>
      <c r="BH36" s="262">
        <f t="shared" si="39"/>
        <v>3912964.8457532222</v>
      </c>
      <c r="BI36" s="262">
        <f t="shared" si="39"/>
        <v>3982583.9340203381</v>
      </c>
      <c r="BJ36" s="262">
        <f t="shared" si="39"/>
        <v>3958719.9812285132</v>
      </c>
      <c r="BK36" s="262">
        <f t="shared" si="39"/>
        <v>2838853.3153059534</v>
      </c>
      <c r="BL36" s="262">
        <f t="shared" si="39"/>
        <v>8874750.5252606366</v>
      </c>
      <c r="BM36" s="262">
        <f t="shared" si="39"/>
        <v>8819434.337221453</v>
      </c>
      <c r="BN36" s="262">
        <f t="shared" si="39"/>
        <v>6013001.5640992662</v>
      </c>
      <c r="BO36" s="262">
        <f t="shared" si="39"/>
        <v>2915344.5743065053</v>
      </c>
      <c r="BP36" s="262">
        <f t="shared" si="39"/>
        <v>3101166.700683821</v>
      </c>
      <c r="BQ36" s="262">
        <f t="shared" ref="BQ36:CY44" si="40">BQ$33*BQ3</f>
        <v>2869183.8263972001</v>
      </c>
      <c r="BR36" s="262">
        <f>BR$33*BR3</f>
        <v>2736752.7023868919</v>
      </c>
      <c r="BS36" s="276"/>
      <c r="BT36" s="262">
        <f t="shared" si="40"/>
        <v>2155643.5111576738</v>
      </c>
      <c r="BU36" s="262">
        <f t="shared" si="40"/>
        <v>3576606.8987938818</v>
      </c>
      <c r="BV36" s="262">
        <f t="shared" si="40"/>
        <v>3032281.6603530585</v>
      </c>
      <c r="BW36" s="262">
        <f t="shared" si="40"/>
        <v>1431617.0922795031</v>
      </c>
      <c r="BX36" s="262">
        <f t="shared" si="40"/>
        <v>2310907.0997009515</v>
      </c>
      <c r="BY36" s="262">
        <f t="shared" si="40"/>
        <v>2445329.8392554671</v>
      </c>
      <c r="BZ36" s="262">
        <f t="shared" si="40"/>
        <v>934351.59399757581</v>
      </c>
      <c r="CA36" s="262">
        <f t="shared" si="40"/>
        <v>2306863.9325598166</v>
      </c>
      <c r="CB36" s="262">
        <f t="shared" si="40"/>
        <v>1809755.4956422045</v>
      </c>
      <c r="CC36" s="262">
        <f t="shared" si="40"/>
        <v>2022133.2825099453</v>
      </c>
      <c r="CD36" s="262">
        <f t="shared" si="40"/>
        <v>1972327.5153472449</v>
      </c>
      <c r="CE36" s="262">
        <f t="shared" si="40"/>
        <v>2318949.8525851569</v>
      </c>
      <c r="CF36" s="262">
        <f t="shared" si="40"/>
        <v>2450779.0627046893</v>
      </c>
      <c r="CG36" s="262">
        <f t="shared" si="40"/>
        <v>2485544.9450271698</v>
      </c>
      <c r="CH36" s="262">
        <f t="shared" si="40"/>
        <v>2659368.2685807357</v>
      </c>
      <c r="CI36" s="262">
        <f t="shared" si="40"/>
        <v>5139437.0590742342</v>
      </c>
      <c r="CJ36" s="262">
        <f t="shared" si="40"/>
        <v>3764640.0020414367</v>
      </c>
      <c r="CK36" s="262">
        <f t="shared" si="40"/>
        <v>6921661.7280365238</v>
      </c>
      <c r="CL36" s="262">
        <f t="shared" si="40"/>
        <v>3606891.845700792</v>
      </c>
      <c r="CM36" s="262">
        <f t="shared" si="40"/>
        <v>1839391.7274428878</v>
      </c>
      <c r="CN36" s="262">
        <f t="shared" si="40"/>
        <v>2637796.262421967</v>
      </c>
      <c r="CO36" s="262">
        <f t="shared" si="40"/>
        <v>3569210.4853902822</v>
      </c>
      <c r="CP36" s="262">
        <f t="shared" si="40"/>
        <v>833360.25429324375</v>
      </c>
      <c r="CQ36" s="262">
        <f t="shared" si="40"/>
        <v>251019.18558678569</v>
      </c>
      <c r="CR36" s="262"/>
      <c r="CS36" s="262">
        <f t="shared" si="40"/>
        <v>10650977.048044747</v>
      </c>
      <c r="CT36" s="262">
        <f t="shared" si="40"/>
        <v>3366311.1533764317</v>
      </c>
      <c r="CU36" s="262">
        <f t="shared" si="40"/>
        <v>5168947.0343771195</v>
      </c>
      <c r="CV36" s="262">
        <f t="shared" ref="CV36:CV43" si="41">CV$33*CV3</f>
        <v>4537429.7807607418</v>
      </c>
      <c r="CW36" s="262">
        <f t="shared" ref="CW36:CW45" si="42">CW$33*CW3</f>
        <v>469981.92</v>
      </c>
      <c r="CX36" s="262">
        <f t="shared" ref="CX36:CY39" si="43">CX$33*CX3</f>
        <v>965985.15599999996</v>
      </c>
      <c r="CY36" s="262">
        <f t="shared" si="43"/>
        <v>3705431.6469643875</v>
      </c>
      <c r="CZ36" s="262">
        <f t="shared" ref="CZ36" si="44">CZ$33*CZ3</f>
        <v>2698910.2781550814</v>
      </c>
      <c r="DA36" s="271"/>
      <c r="DB36" s="271"/>
      <c r="DC36" s="271"/>
      <c r="DD36" s="271"/>
    </row>
    <row r="37" spans="1:110" x14ac:dyDescent="0.35">
      <c r="B37">
        <f>'Budget 2022'!B110</f>
        <v>0</v>
      </c>
      <c r="C37" s="63" t="s">
        <v>265</v>
      </c>
      <c r="D37" s="262">
        <f t="shared" ref="D37:S47" si="45">D$33*D4</f>
        <v>1552679.8301214315</v>
      </c>
      <c r="E37" s="262">
        <f t="shared" si="45"/>
        <v>968141.54113453988</v>
      </c>
      <c r="F37" s="262">
        <f t="shared" si="45"/>
        <v>625209.1544705499</v>
      </c>
      <c r="G37" s="262">
        <f t="shared" si="45"/>
        <v>1843231.1116976351</v>
      </c>
      <c r="H37" s="262">
        <f t="shared" si="45"/>
        <v>1916895.2198543821</v>
      </c>
      <c r="I37" s="262">
        <f t="shared" si="39"/>
        <v>1276533.7820529102</v>
      </c>
      <c r="J37" s="262">
        <f t="shared" si="39"/>
        <v>1657989.5285674215</v>
      </c>
      <c r="K37" s="262">
        <f t="shared" si="39"/>
        <v>2007114.7833917276</v>
      </c>
      <c r="L37" s="263">
        <f t="shared" si="39"/>
        <v>0</v>
      </c>
      <c r="M37" s="263">
        <f t="shared" si="39"/>
        <v>0</v>
      </c>
      <c r="N37" s="262">
        <f t="shared" si="39"/>
        <v>1235244.6996572514</v>
      </c>
      <c r="O37" s="262">
        <f t="shared" si="39"/>
        <v>1868760.3284278896</v>
      </c>
      <c r="P37" s="262">
        <f t="shared" si="39"/>
        <v>2754845.1190877734</v>
      </c>
      <c r="Q37" s="262">
        <f t="shared" si="39"/>
        <v>2016894.776894005</v>
      </c>
      <c r="R37" s="262">
        <f t="shared" si="39"/>
        <v>2596132.2425277969</v>
      </c>
      <c r="S37" s="262">
        <f t="shared" si="39"/>
        <v>1286898.5614595457</v>
      </c>
      <c r="T37" s="262">
        <f t="shared" si="39"/>
        <v>2517367.252090889</v>
      </c>
      <c r="U37" s="262">
        <f t="shared" si="39"/>
        <v>2431163.4053773689</v>
      </c>
      <c r="V37" s="262">
        <f t="shared" si="39"/>
        <v>2447052.7225805442</v>
      </c>
      <c r="W37" s="262">
        <f t="shared" si="39"/>
        <v>2512508.7914192546</v>
      </c>
      <c r="X37" s="262">
        <f t="shared" si="39"/>
        <v>1239764.2532955089</v>
      </c>
      <c r="Y37" s="262">
        <f t="shared" si="39"/>
        <v>3114244.4150801222</v>
      </c>
      <c r="Z37" s="262">
        <f t="shared" si="39"/>
        <v>1957403.5163964615</v>
      </c>
      <c r="AA37" s="262">
        <f t="shared" si="39"/>
        <v>3842620.4529154971</v>
      </c>
      <c r="AB37" s="262">
        <f t="shared" si="39"/>
        <v>982751.72667414532</v>
      </c>
      <c r="AC37" s="262">
        <f t="shared" si="39"/>
        <v>781770.30350877799</v>
      </c>
      <c r="AD37" s="262">
        <f t="shared" si="39"/>
        <v>924972.3166206656</v>
      </c>
      <c r="AE37" s="262">
        <f t="shared" si="39"/>
        <v>2637116.6282587419</v>
      </c>
      <c r="AF37" s="262">
        <f t="shared" si="39"/>
        <v>2771104.878548061</v>
      </c>
      <c r="AG37" s="262">
        <f t="shared" si="39"/>
        <v>2668273.686508684</v>
      </c>
      <c r="AH37" s="262">
        <f t="shared" si="39"/>
        <v>2520878.8688004147</v>
      </c>
      <c r="AI37" s="262">
        <f t="shared" si="39"/>
        <v>3132088.1496959566</v>
      </c>
      <c r="AJ37" s="262">
        <f t="shared" si="39"/>
        <v>1005171.086847482</v>
      </c>
      <c r="AK37" s="262">
        <f t="shared" si="39"/>
        <v>1484756.0279659706</v>
      </c>
      <c r="AL37" s="262">
        <f t="shared" si="39"/>
        <v>1985014.1182448205</v>
      </c>
      <c r="AM37" s="262">
        <f t="shared" si="39"/>
        <v>2104504.1624713531</v>
      </c>
      <c r="AN37" s="262">
        <f t="shared" si="39"/>
        <v>1888100.5878380593</v>
      </c>
      <c r="AO37" s="262">
        <f t="shared" si="39"/>
        <v>2896690.2602806352</v>
      </c>
      <c r="AP37" s="262">
        <f t="shared" si="39"/>
        <v>1435884.6856427474</v>
      </c>
      <c r="AQ37" s="262">
        <f t="shared" si="39"/>
        <v>2808806.5319742779</v>
      </c>
      <c r="AR37" s="262">
        <f t="shared" si="39"/>
        <v>1518515.7610888025</v>
      </c>
      <c r="AS37" s="262">
        <f t="shared" si="39"/>
        <v>2020388.0840817722</v>
      </c>
      <c r="AT37" s="262">
        <f t="shared" si="39"/>
        <v>636914.47548032959</v>
      </c>
      <c r="AU37" s="262">
        <f t="shared" si="39"/>
        <v>2033835.2739466857</v>
      </c>
      <c r="AV37" s="262">
        <f t="shared" si="39"/>
        <v>2286715.4141694289</v>
      </c>
      <c r="AW37" s="262">
        <f t="shared" si="39"/>
        <v>2846142.1901577902</v>
      </c>
      <c r="AX37" s="262">
        <f t="shared" si="39"/>
        <v>2682043.1436125785</v>
      </c>
      <c r="AY37" s="262">
        <f t="shared" si="39"/>
        <v>2620496.4119238611</v>
      </c>
      <c r="AZ37" s="262">
        <f t="shared" si="39"/>
        <v>2820767.92116781</v>
      </c>
      <c r="BA37" s="262">
        <f t="shared" si="39"/>
        <v>1433384.420647518</v>
      </c>
      <c r="BB37" s="262">
        <f t="shared" si="39"/>
        <v>1829226.4555675862</v>
      </c>
      <c r="BC37" s="262">
        <f t="shared" si="39"/>
        <v>2375791.341411747</v>
      </c>
      <c r="BD37" s="262">
        <f t="shared" si="39"/>
        <v>3140709.3508238574</v>
      </c>
      <c r="BE37" s="262">
        <f t="shared" si="39"/>
        <v>2522109.4628949934</v>
      </c>
      <c r="BF37" s="262">
        <f t="shared" si="39"/>
        <v>826218.91127641953</v>
      </c>
      <c r="BG37" s="262">
        <f t="shared" si="39"/>
        <v>2711826.6934335493</v>
      </c>
      <c r="BH37" s="262">
        <f t="shared" si="39"/>
        <v>3176659.9345946736</v>
      </c>
      <c r="BI37" s="262">
        <f t="shared" si="39"/>
        <v>3233178.7578141517</v>
      </c>
      <c r="BJ37" s="262">
        <f t="shared" si="39"/>
        <v>3268532.3776633642</v>
      </c>
      <c r="BK37" s="262">
        <f t="shared" si="39"/>
        <v>2343910.1579584233</v>
      </c>
      <c r="BL37" s="262">
        <f t="shared" si="39"/>
        <v>7213936.7498536594</v>
      </c>
      <c r="BM37" s="262">
        <f t="shared" si="39"/>
        <v>7222650.4756442215</v>
      </c>
      <c r="BN37" s="262">
        <f t="shared" si="39"/>
        <v>4977170.6908618612</v>
      </c>
      <c r="BO37" s="262">
        <f t="shared" si="39"/>
        <v>2618482.848174287</v>
      </c>
      <c r="BP37" s="262">
        <f t="shared" si="39"/>
        <v>2525986.63946873</v>
      </c>
      <c r="BQ37" s="262">
        <f t="shared" si="40"/>
        <v>2337030.1280679251</v>
      </c>
      <c r="BR37" s="276"/>
      <c r="BS37" s="276"/>
      <c r="BT37" s="262">
        <f t="shared" si="40"/>
        <v>1776950.2598288935</v>
      </c>
      <c r="BU37" s="262">
        <f t="shared" si="40"/>
        <v>2910100.5820259415</v>
      </c>
      <c r="BV37" s="262">
        <f t="shared" si="40"/>
        <v>2473371.7644283497</v>
      </c>
      <c r="BW37" s="262">
        <f t="shared" si="40"/>
        <v>1167741.5524469642</v>
      </c>
      <c r="BX37" s="262">
        <f t="shared" si="40"/>
        <v>1880169.2397180772</v>
      </c>
      <c r="BY37" s="262">
        <f t="shared" si="40"/>
        <v>2037611.8218602098</v>
      </c>
      <c r="BZ37" s="262">
        <f t="shared" si="40"/>
        <v>877078.55451491394</v>
      </c>
      <c r="CA37" s="262">
        <f t="shared" si="40"/>
        <v>1980572.0796700176</v>
      </c>
      <c r="CB37" s="262">
        <f t="shared" si="40"/>
        <v>1512766.1059254992</v>
      </c>
      <c r="CC37" s="262">
        <f t="shared" si="40"/>
        <v>1768176.8432202579</v>
      </c>
      <c r="CD37" s="262">
        <f t="shared" si="40"/>
        <v>1640682.3232426171</v>
      </c>
      <c r="CE37" s="262">
        <f t="shared" si="40"/>
        <v>1954763.598253971</v>
      </c>
      <c r="CF37" s="262">
        <f t="shared" si="40"/>
        <v>2235982.2427850808</v>
      </c>
      <c r="CG37" s="262">
        <f t="shared" si="40"/>
        <v>2086157.3163466984</v>
      </c>
      <c r="CH37" s="262">
        <f t="shared" si="40"/>
        <v>2240842.259266749</v>
      </c>
      <c r="CI37" s="262">
        <f t="shared" si="40"/>
        <v>4288577.391174118</v>
      </c>
      <c r="CJ37" s="262">
        <f t="shared" si="40"/>
        <v>3121144.8122203145</v>
      </c>
      <c r="CK37" s="262">
        <f t="shared" si="40"/>
        <v>5682893.8473297302</v>
      </c>
      <c r="CL37" s="262">
        <f t="shared" si="40"/>
        <v>2940380.6653016941</v>
      </c>
      <c r="CM37" s="262">
        <f t="shared" si="40"/>
        <v>1499493.7754331576</v>
      </c>
      <c r="CN37" s="262">
        <f t="shared" si="40"/>
        <v>2347950.2663055826</v>
      </c>
      <c r="CO37" s="262">
        <f t="shared" si="40"/>
        <v>3177018.9491352737</v>
      </c>
      <c r="CP37" s="262">
        <f t="shared" si="40"/>
        <v>944200.30694759474</v>
      </c>
      <c r="CQ37" s="262">
        <f t="shared" si="40"/>
        <v>335771.26700412954</v>
      </c>
      <c r="CR37" s="262"/>
      <c r="CS37" s="262">
        <f t="shared" si="40"/>
        <v>9540597.9794908948</v>
      </c>
      <c r="CT37" s="262">
        <f t="shared" si="40"/>
        <v>2838548.6813597688</v>
      </c>
      <c r="CU37" s="262">
        <f t="shared" si="40"/>
        <v>4256411.2140246732</v>
      </c>
      <c r="CV37" s="262">
        <f t="shared" si="41"/>
        <v>3740490.7962713703</v>
      </c>
      <c r="CW37" s="262">
        <f t="shared" si="42"/>
        <v>750048.72</v>
      </c>
      <c r="CX37" s="262">
        <f t="shared" ref="CX37" si="46">CX$33*CX4</f>
        <v>1335097.7280000001</v>
      </c>
      <c r="CY37" s="262">
        <f t="shared" si="43"/>
        <v>3277094.9986763862</v>
      </c>
      <c r="CZ37" s="262">
        <f t="shared" ref="CZ37" si="47">CZ$33*CZ4</f>
        <v>2373059.7661503367</v>
      </c>
      <c r="DA37" s="271"/>
      <c r="DB37" s="271"/>
      <c r="DC37" s="271"/>
      <c r="DD37" s="271"/>
    </row>
    <row r="38" spans="1:110" x14ac:dyDescent="0.35">
      <c r="C38" s="63" t="s">
        <v>266</v>
      </c>
      <c r="D38" s="262">
        <f t="shared" si="45"/>
        <v>1740282.7520709301</v>
      </c>
      <c r="E38" s="262">
        <f t="shared" si="45"/>
        <v>1085117.4807030507</v>
      </c>
      <c r="F38" s="262">
        <f t="shared" si="45"/>
        <v>569552.22567538673</v>
      </c>
      <c r="G38" s="262">
        <f t="shared" si="45"/>
        <v>1683338.3681885155</v>
      </c>
      <c r="H38" s="262">
        <f t="shared" si="45"/>
        <v>1926998.281001407</v>
      </c>
      <c r="I38" s="262">
        <f t="shared" si="39"/>
        <v>1283261.7965644719</v>
      </c>
      <c r="J38" s="262">
        <f t="shared" si="39"/>
        <v>1666728.0185040371</v>
      </c>
      <c r="K38" s="262">
        <f t="shared" si="39"/>
        <v>2017693.3498024908</v>
      </c>
      <c r="L38" s="263">
        <f t="shared" si="39"/>
        <v>0</v>
      </c>
      <c r="M38" s="263">
        <f t="shared" si="39"/>
        <v>0</v>
      </c>
      <c r="N38" s="262">
        <f t="shared" si="39"/>
        <v>1207969.2624719671</v>
      </c>
      <c r="O38" s="262">
        <f t="shared" si="39"/>
        <v>1727517.0266823077</v>
      </c>
      <c r="P38" s="262">
        <f t="shared" si="39"/>
        <v>2824499.0755503979</v>
      </c>
      <c r="Q38" s="262">
        <f t="shared" si="39"/>
        <v>1850604.8695742099</v>
      </c>
      <c r="R38" s="262">
        <f t="shared" si="39"/>
        <v>2439693.3361136266</v>
      </c>
      <c r="S38" s="262">
        <f t="shared" si="39"/>
        <v>1209352.0481029388</v>
      </c>
      <c r="T38" s="262">
        <f t="shared" si="39"/>
        <v>2365674.6019597482</v>
      </c>
      <c r="U38" s="262">
        <f t="shared" si="39"/>
        <v>2330782.6666765381</v>
      </c>
      <c r="V38" s="262">
        <f t="shared" si="39"/>
        <v>2318210.6486425092</v>
      </c>
      <c r="W38" s="262">
        <f t="shared" si="39"/>
        <v>2380220.328450371</v>
      </c>
      <c r="X38" s="262">
        <f t="shared" si="39"/>
        <v>1174488.2598055177</v>
      </c>
      <c r="Y38" s="262">
        <f t="shared" si="39"/>
        <v>2950273.4039587388</v>
      </c>
      <c r="Z38" s="262">
        <f t="shared" si="39"/>
        <v>1857850.1346622349</v>
      </c>
      <c r="AA38" s="262">
        <f t="shared" si="39"/>
        <v>3753008.5408745157</v>
      </c>
      <c r="AB38" s="262">
        <f t="shared" si="39"/>
        <v>959833.44411984622</v>
      </c>
      <c r="AC38" s="262">
        <f t="shared" si="39"/>
        <v>763539.01251017652</v>
      </c>
      <c r="AD38" s="262">
        <f t="shared" si="39"/>
        <v>903401.48002803151</v>
      </c>
      <c r="AE38" s="262">
        <f t="shared" si="39"/>
        <v>2509511.8782871831</v>
      </c>
      <c r="AF38" s="262">
        <f t="shared" si="39"/>
        <v>2637016.7076333091</v>
      </c>
      <c r="AG38" s="262">
        <f t="shared" si="39"/>
        <v>2550117.7655157349</v>
      </c>
      <c r="AH38" s="262">
        <f t="shared" si="39"/>
        <v>2409249.8533958863</v>
      </c>
      <c r="AI38" s="262">
        <f t="shared" si="39"/>
        <v>3497950.7689040815</v>
      </c>
      <c r="AJ38" s="262">
        <f t="shared" si="39"/>
        <v>903491.24535932299</v>
      </c>
      <c r="AK38" s="262">
        <f t="shared" si="39"/>
        <v>1378550.2401245811</v>
      </c>
      <c r="AL38" s="262">
        <f t="shared" si="39"/>
        <v>1981875.1168762827</v>
      </c>
      <c r="AM38" s="262">
        <f t="shared" si="39"/>
        <v>2016693.2854604193</v>
      </c>
      <c r="AN38" s="262">
        <f t="shared" si="39"/>
        <v>1809319.1953088932</v>
      </c>
      <c r="AO38" s="262">
        <f t="shared" si="39"/>
        <v>2862720.2575650932</v>
      </c>
      <c r="AP38" s="262">
        <f t="shared" si="39"/>
        <v>1419045.8101373755</v>
      </c>
      <c r="AQ38" s="262">
        <f t="shared" si="39"/>
        <v>2775867.1573967026</v>
      </c>
      <c r="AR38" s="262">
        <f t="shared" si="39"/>
        <v>1699040.6392458142</v>
      </c>
      <c r="AS38" s="262">
        <f t="shared" si="39"/>
        <v>2058254.3177075707</v>
      </c>
      <c r="AT38" s="262">
        <f t="shared" si="39"/>
        <v>648851.56445754552</v>
      </c>
      <c r="AU38" s="262">
        <f t="shared" si="39"/>
        <v>2071953.5356046464</v>
      </c>
      <c r="AV38" s="262">
        <f t="shared" si="39"/>
        <v>2222969.3138712756</v>
      </c>
      <c r="AW38" s="262">
        <f t="shared" si="39"/>
        <v>2646367.5287009343</v>
      </c>
      <c r="AX38" s="262">
        <f t="shared" si="39"/>
        <v>2493786.8214650969</v>
      </c>
      <c r="AY38" s="262">
        <f t="shared" si="39"/>
        <v>2436560.1400990263</v>
      </c>
      <c r="AZ38" s="262">
        <f t="shared" si="39"/>
        <v>2829613.5366287013</v>
      </c>
      <c r="BA38" s="262">
        <f t="shared" si="39"/>
        <v>1437879.3552706512</v>
      </c>
      <c r="BB38" s="262">
        <f t="shared" si="39"/>
        <v>1783953.9636232925</v>
      </c>
      <c r="BC38" s="262">
        <f t="shared" si="39"/>
        <v>2346146.1263232371</v>
      </c>
      <c r="BD38" s="262">
        <f t="shared" si="39"/>
        <v>2828122.5568972304</v>
      </c>
      <c r="BE38" s="262">
        <f t="shared" si="39"/>
        <v>2450839.4677612041</v>
      </c>
      <c r="BF38" s="262">
        <f t="shared" si="39"/>
        <v>802871.54326863901</v>
      </c>
      <c r="BG38" s="262">
        <f t="shared" si="39"/>
        <v>2700411.3571018744</v>
      </c>
      <c r="BH38" s="262">
        <f t="shared" si="39"/>
        <v>3040433.1052771281</v>
      </c>
      <c r="BI38" s="262">
        <f t="shared" si="39"/>
        <v>3094528.1940577696</v>
      </c>
      <c r="BJ38" s="262">
        <f t="shared" si="39"/>
        <v>3157407.830446816</v>
      </c>
      <c r="BK38" s="262">
        <f t="shared" si="39"/>
        <v>2264221.1951690749</v>
      </c>
      <c r="BL38" s="262">
        <f t="shared" si="39"/>
        <v>6920148.7093920596</v>
      </c>
      <c r="BM38" s="262">
        <f t="shared" si="39"/>
        <v>6928297.7629543794</v>
      </c>
      <c r="BN38" s="262">
        <f t="shared" si="39"/>
        <v>4864098.2751881536</v>
      </c>
      <c r="BO38" s="262">
        <f t="shared" si="39"/>
        <v>2611752.8287644805</v>
      </c>
      <c r="BP38" s="262">
        <f t="shared" si="39"/>
        <v>2514303.1000095694</v>
      </c>
      <c r="BQ38" s="262">
        <f t="shared" si="40"/>
        <v>2326220.5761518977</v>
      </c>
      <c r="BR38" s="276"/>
      <c r="BS38" s="276"/>
      <c r="BT38" s="262">
        <f t="shared" si="40"/>
        <v>1614904.8568296942</v>
      </c>
      <c r="BU38" s="262">
        <f t="shared" si="40"/>
        <v>2669130.8474123515</v>
      </c>
      <c r="BV38" s="262">
        <f t="shared" si="40"/>
        <v>2339826.2788870651</v>
      </c>
      <c r="BW38" s="262">
        <f t="shared" si="40"/>
        <v>1104691.3410509001</v>
      </c>
      <c r="BX38" s="262">
        <f t="shared" si="40"/>
        <v>1760489.8452366083</v>
      </c>
      <c r="BY38" s="262">
        <f t="shared" si="40"/>
        <v>1952131.6133720085</v>
      </c>
      <c r="BZ38" s="262">
        <f t="shared" si="40"/>
        <v>851228.73978949222</v>
      </c>
      <c r="CA38" s="262">
        <f t="shared" si="40"/>
        <v>2039326.7076426111</v>
      </c>
      <c r="CB38" s="262">
        <f t="shared" si="40"/>
        <v>1487366.086760683</v>
      </c>
      <c r="CC38" s="262">
        <f t="shared" si="40"/>
        <v>1836645.0816918903</v>
      </c>
      <c r="CD38" s="262">
        <f t="shared" si="40"/>
        <v>1663028.1231747314</v>
      </c>
      <c r="CE38" s="262">
        <f t="shared" si="40"/>
        <v>2010325.9572123289</v>
      </c>
      <c r="CF38" s="262">
        <f t="shared" si="40"/>
        <v>2239902.6746391817</v>
      </c>
      <c r="CG38" s="262">
        <f t="shared" si="40"/>
        <v>2139951.2056182339</v>
      </c>
      <c r="CH38" s="262">
        <f t="shared" si="40"/>
        <v>2185567.2663969225</v>
      </c>
      <c r="CI38" s="262">
        <f t="shared" si="40"/>
        <v>4224949.6052256105</v>
      </c>
      <c r="CJ38" s="262">
        <f t="shared" si="40"/>
        <v>3075963.6255291882</v>
      </c>
      <c r="CK38" s="262">
        <f t="shared" si="40"/>
        <v>5466827.2743051546</v>
      </c>
      <c r="CL38" s="262">
        <f t="shared" si="40"/>
        <v>2833864.7990910937</v>
      </c>
      <c r="CM38" s="262">
        <f t="shared" si="40"/>
        <v>1445174.3193666493</v>
      </c>
      <c r="CN38" s="262">
        <f t="shared" si="40"/>
        <v>2355313.178022346</v>
      </c>
      <c r="CO38" s="262">
        <f t="shared" si="40"/>
        <v>3186981.7283221488</v>
      </c>
      <c r="CP38" s="262">
        <f t="shared" si="40"/>
        <v>1336848.7412620788</v>
      </c>
      <c r="CQ38" s="262">
        <f t="shared" si="40"/>
        <v>526169.17213267623</v>
      </c>
      <c r="CR38" s="262"/>
      <c r="CS38" s="262">
        <f t="shared" si="40"/>
        <v>9405860.5752347764</v>
      </c>
      <c r="CT38" s="262">
        <f t="shared" si="40"/>
        <v>2897301.1339248247</v>
      </c>
      <c r="CU38" s="262">
        <f t="shared" si="40"/>
        <v>4123926.4837819966</v>
      </c>
      <c r="CV38" s="262">
        <f t="shared" si="41"/>
        <v>3833289.1114665638</v>
      </c>
      <c r="CW38" s="262">
        <f t="shared" si="42"/>
        <v>1480045.32</v>
      </c>
      <c r="CX38" s="262">
        <f t="shared" ref="CX38" si="48">CX$33*CX5</f>
        <v>2048016.2039999999</v>
      </c>
      <c r="CY38" s="262">
        <f t="shared" si="43"/>
        <v>3185926.9914196124</v>
      </c>
      <c r="CZ38" s="262">
        <f t="shared" ref="CZ38" si="49">CZ$33*CZ5</f>
        <v>2919360.1075939429</v>
      </c>
      <c r="DA38" s="271"/>
      <c r="DB38" s="271"/>
      <c r="DC38" s="271"/>
      <c r="DD38" s="271"/>
    </row>
    <row r="39" spans="1:110" x14ac:dyDescent="0.35">
      <c r="C39" s="63" t="s">
        <v>267</v>
      </c>
      <c r="D39" s="262">
        <f t="shared" si="45"/>
        <v>1562485.7630328711</v>
      </c>
      <c r="E39" s="262">
        <f t="shared" si="45"/>
        <v>974255.82871461392</v>
      </c>
      <c r="F39" s="262">
        <f t="shared" si="45"/>
        <v>399272.31582261471</v>
      </c>
      <c r="G39" s="262">
        <f t="shared" si="45"/>
        <v>1180303.3813721319</v>
      </c>
      <c r="H39" s="262">
        <f t="shared" si="45"/>
        <v>1715873.6489110561</v>
      </c>
      <c r="I39" s="262">
        <f t="shared" si="39"/>
        <v>1142665.8358174374</v>
      </c>
      <c r="J39" s="262">
        <f t="shared" si="39"/>
        <v>1484118.9611059793</v>
      </c>
      <c r="K39" s="262">
        <f t="shared" si="39"/>
        <v>1796632.0388775915</v>
      </c>
      <c r="L39" s="263">
        <f t="shared" si="39"/>
        <v>0</v>
      </c>
      <c r="M39" s="263">
        <f t="shared" si="39"/>
        <v>0</v>
      </c>
      <c r="N39" s="262">
        <f t="shared" si="39"/>
        <v>1021585.4661842071</v>
      </c>
      <c r="O39" s="262">
        <f t="shared" si="39"/>
        <v>1462075.2170894844</v>
      </c>
      <c r="P39" s="262">
        <f t="shared" si="39"/>
        <v>2615055.7068853616</v>
      </c>
      <c r="Q39" s="262">
        <f t="shared" si="39"/>
        <v>1324301.1043841643</v>
      </c>
      <c r="R39" s="262">
        <f t="shared" si="39"/>
        <v>1858427.6121936592</v>
      </c>
      <c r="S39" s="262">
        <f t="shared" si="39"/>
        <v>921219.56714349135</v>
      </c>
      <c r="T39" s="262">
        <f t="shared" si="39"/>
        <v>1802044.1080314855</v>
      </c>
      <c r="U39" s="262">
        <f t="shared" si="39"/>
        <v>1936440.2253607833</v>
      </c>
      <c r="V39" s="262">
        <f t="shared" si="39"/>
        <v>1793170.6063017214</v>
      </c>
      <c r="W39" s="262">
        <f t="shared" si="39"/>
        <v>1841136.0210075644</v>
      </c>
      <c r="X39" s="262">
        <f t="shared" si="39"/>
        <v>908484.23380462569</v>
      </c>
      <c r="Y39" s="262">
        <f t="shared" si="39"/>
        <v>2282080.600238136</v>
      </c>
      <c r="Z39" s="262">
        <f t="shared" si="39"/>
        <v>1368469.6654461429</v>
      </c>
      <c r="AA39" s="262">
        <f t="shared" si="39"/>
        <v>3257081.9749087589</v>
      </c>
      <c r="AB39" s="262">
        <f t="shared" si="39"/>
        <v>833000.02536868013</v>
      </c>
      <c r="AC39" s="262">
        <f t="shared" si="39"/>
        <v>662644.15007353981</v>
      </c>
      <c r="AD39" s="262">
        <f t="shared" si="39"/>
        <v>784025.04141905159</v>
      </c>
      <c r="AE39" s="262">
        <f t="shared" si="39"/>
        <v>1913439.9435142018</v>
      </c>
      <c r="AF39" s="262">
        <f t="shared" si="39"/>
        <v>2010659.1818739574</v>
      </c>
      <c r="AG39" s="262">
        <f t="shared" si="39"/>
        <v>1997552.5484263739</v>
      </c>
      <c r="AH39" s="262">
        <f t="shared" si="39"/>
        <v>1887208.2103524033</v>
      </c>
      <c r="AI39" s="262">
        <f t="shared" si="39"/>
        <v>3098778.7721513002</v>
      </c>
      <c r="AJ39" s="262">
        <f t="shared" si="39"/>
        <v>708729.94585583673</v>
      </c>
      <c r="AK39" s="262">
        <f t="shared" si="39"/>
        <v>1142852.4582071621</v>
      </c>
      <c r="AL39" s="262">
        <f t="shared" si="39"/>
        <v>1572532.4371737198</v>
      </c>
      <c r="AM39" s="262">
        <f t="shared" si="39"/>
        <v>1692211.8728637218</v>
      </c>
      <c r="AN39" s="262">
        <f t="shared" si="39"/>
        <v>1518203.8072799623</v>
      </c>
      <c r="AO39" s="262">
        <f t="shared" si="39"/>
        <v>2376559.6753237387</v>
      </c>
      <c r="AP39" s="262">
        <f t="shared" si="39"/>
        <v>1178056.7943715365</v>
      </c>
      <c r="AQ39" s="262">
        <f t="shared" si="39"/>
        <v>2304456.3760259529</v>
      </c>
      <c r="AR39" s="262">
        <f t="shared" si="39"/>
        <v>1610635.4311166282</v>
      </c>
      <c r="AS39" s="262">
        <f t="shared" si="39"/>
        <v>1694362.7113489346</v>
      </c>
      <c r="AT39" s="262">
        <f t="shared" si="39"/>
        <v>534137.05321009911</v>
      </c>
      <c r="AU39" s="262">
        <f t="shared" si="39"/>
        <v>1705639.9591505092</v>
      </c>
      <c r="AV39" s="262">
        <f t="shared" si="39"/>
        <v>1808485.0897115518</v>
      </c>
      <c r="AW39" s="262">
        <f t="shared" si="39"/>
        <v>2212475.305925034</v>
      </c>
      <c r="AX39" s="262">
        <f t="shared" si="39"/>
        <v>2084911.37413602</v>
      </c>
      <c r="AY39" s="262">
        <f t="shared" si="39"/>
        <v>2037067.4454340138</v>
      </c>
      <c r="AZ39" s="262">
        <f t="shared" si="39"/>
        <v>2447766.8930057837</v>
      </c>
      <c r="BA39" s="262">
        <f t="shared" si="39"/>
        <v>1243842.4669686044</v>
      </c>
      <c r="BB39" s="262">
        <f t="shared" si="39"/>
        <v>1472224.6612031762</v>
      </c>
      <c r="BC39" s="262">
        <f t="shared" si="39"/>
        <v>1945243.6542782935</v>
      </c>
      <c r="BD39" s="262">
        <f t="shared" si="39"/>
        <v>1997393.1375383355</v>
      </c>
      <c r="BE39" s="262">
        <f t="shared" si="39"/>
        <v>2101169.223223262</v>
      </c>
      <c r="BF39" s="262">
        <f t="shared" si="39"/>
        <v>688322.91919096699</v>
      </c>
      <c r="BG39" s="262">
        <f t="shared" si="39"/>
        <v>2247618.4292791616</v>
      </c>
      <c r="BH39" s="262">
        <f t="shared" si="39"/>
        <v>2411782.8514618133</v>
      </c>
      <c r="BI39" s="262">
        <f t="shared" si="39"/>
        <v>2454693.0563411815</v>
      </c>
      <c r="BJ39" s="262">
        <f t="shared" si="39"/>
        <v>2552381.994336525</v>
      </c>
      <c r="BK39" s="262">
        <f t="shared" si="39"/>
        <v>1830348.7291113874</v>
      </c>
      <c r="BL39" s="262">
        <f t="shared" si="39"/>
        <v>5541886.1797163757</v>
      </c>
      <c r="BM39" s="262">
        <f t="shared" si="39"/>
        <v>5535210.6775090145</v>
      </c>
      <c r="BN39" s="262">
        <f t="shared" si="39"/>
        <v>3941622.7795093553</v>
      </c>
      <c r="BO39" s="262">
        <f t="shared" si="39"/>
        <v>2304139.7588389073</v>
      </c>
      <c r="BP39" s="262">
        <f t="shared" si="39"/>
        <v>2022472.284389762</v>
      </c>
      <c r="BQ39" s="262">
        <f t="shared" si="40"/>
        <v>1871181.180433851</v>
      </c>
      <c r="BR39" s="276"/>
      <c r="BS39" s="276"/>
      <c r="BT39" s="262">
        <f t="shared" si="40"/>
        <v>1293725.2694653736</v>
      </c>
      <c r="BU39" s="262">
        <f t="shared" si="40"/>
        <v>2039959.0638230543</v>
      </c>
      <c r="BV39" s="262">
        <f t="shared" si="40"/>
        <v>1819128.6348554122</v>
      </c>
      <c r="BW39" s="262">
        <f t="shared" si="40"/>
        <v>858856.7746740455</v>
      </c>
      <c r="BX39" s="262">
        <f t="shared" si="40"/>
        <v>1337884.3699964392</v>
      </c>
      <c r="BY39" s="262">
        <f t="shared" si="40"/>
        <v>1556519.7551361467</v>
      </c>
      <c r="BZ39" s="262">
        <f t="shared" si="40"/>
        <v>807179.90027923661</v>
      </c>
      <c r="CA39" s="262">
        <f t="shared" si="40"/>
        <v>1722108.5871712591</v>
      </c>
      <c r="CB39" s="262">
        <f t="shared" si="40"/>
        <v>1237485.2186346117</v>
      </c>
      <c r="CC39" s="262">
        <f t="shared" si="40"/>
        <v>1593574.1236142449</v>
      </c>
      <c r="CD39" s="262">
        <f t="shared" si="40"/>
        <v>1278781.1312665953</v>
      </c>
      <c r="CE39" s="262">
        <f t="shared" si="40"/>
        <v>1605660.6490464422</v>
      </c>
      <c r="CF39" s="262">
        <f t="shared" si="40"/>
        <v>1663562.9755846942</v>
      </c>
      <c r="CG39" s="262">
        <f t="shared" si="40"/>
        <v>1679322.8789119711</v>
      </c>
      <c r="CH39" s="262">
        <f t="shared" si="40"/>
        <v>1784592.7494586171</v>
      </c>
      <c r="CI39" s="262">
        <f t="shared" si="40"/>
        <v>3464359.6906659938</v>
      </c>
      <c r="CJ39" s="262">
        <f t="shared" si="40"/>
        <v>2554388.7015257995</v>
      </c>
      <c r="CK39" s="262">
        <f t="shared" si="40"/>
        <v>4420020.2741387608</v>
      </c>
      <c r="CL39" s="262">
        <f t="shared" si="40"/>
        <v>2262073.0215998837</v>
      </c>
      <c r="CM39" s="262">
        <f t="shared" si="40"/>
        <v>1153580.0297871542</v>
      </c>
      <c r="CN39" s="262">
        <f t="shared" si="40"/>
        <v>2037471.7413503265</v>
      </c>
      <c r="CO39" s="262">
        <f t="shared" si="40"/>
        <v>2756909.4726962871</v>
      </c>
      <c r="CP39" s="262">
        <f t="shared" si="40"/>
        <v>1366177.2153715042</v>
      </c>
      <c r="CQ39" s="262">
        <f t="shared" si="40"/>
        <v>582474.37437058752</v>
      </c>
      <c r="CR39" s="262"/>
      <c r="CS39" s="262">
        <f t="shared" si="40"/>
        <v>8039723.307061336</v>
      </c>
      <c r="CT39" s="262">
        <f t="shared" si="40"/>
        <v>2388571.7837949824</v>
      </c>
      <c r="CU39" s="262">
        <f t="shared" si="40"/>
        <v>3314249.5382281211</v>
      </c>
      <c r="CV39" s="262">
        <f t="shared" si="41"/>
        <v>2767426.3551477157</v>
      </c>
      <c r="CW39" s="262">
        <f t="shared" si="42"/>
        <v>1691006.8800000001</v>
      </c>
      <c r="CX39" s="262">
        <f t="shared" ref="CX39" si="50">CX$33*CX6</f>
        <v>2188000.8360000001</v>
      </c>
      <c r="CY39" s="262">
        <f t="shared" si="43"/>
        <v>2417460.1729367794</v>
      </c>
      <c r="CZ39" s="262">
        <f t="shared" ref="CZ39:DA44" si="51">CZ$33*CZ6</f>
        <v>1756013.797054722</v>
      </c>
      <c r="DA39" s="271"/>
      <c r="DB39" s="271"/>
      <c r="DC39" s="271"/>
      <c r="DD39" s="271"/>
    </row>
    <row r="40" spans="1:110" x14ac:dyDescent="0.35">
      <c r="C40" s="63" t="s">
        <v>268</v>
      </c>
      <c r="D40" s="262">
        <f t="shared" si="45"/>
        <v>1507292.5639699805</v>
      </c>
      <c r="E40" s="262">
        <f t="shared" si="45"/>
        <v>939841.24576951738</v>
      </c>
      <c r="F40" s="262">
        <f t="shared" si="45"/>
        <v>376104.69071385759</v>
      </c>
      <c r="G40" s="262">
        <f t="shared" si="45"/>
        <v>1120249.3799242675</v>
      </c>
      <c r="H40" s="262">
        <f t="shared" si="45"/>
        <v>1388247.3277248016</v>
      </c>
      <c r="I40" s="262">
        <f t="shared" si="39"/>
        <v>924486.94812855171</v>
      </c>
      <c r="J40" s="262">
        <f t="shared" si="39"/>
        <v>1200743.5297398656</v>
      </c>
      <c r="K40" s="262">
        <f t="shared" si="39"/>
        <v>1453585.8327677283</v>
      </c>
      <c r="L40" s="263">
        <f t="shared" si="39"/>
        <v>0</v>
      </c>
      <c r="M40" s="263">
        <f t="shared" si="39"/>
        <v>0</v>
      </c>
      <c r="N40" s="262">
        <f t="shared" si="39"/>
        <v>872612.10906521336</v>
      </c>
      <c r="O40" s="262">
        <f t="shared" si="39"/>
        <v>1282319.325408384</v>
      </c>
      <c r="P40" s="262">
        <f t="shared" si="39"/>
        <v>2300875.0329951341</v>
      </c>
      <c r="Q40" s="262">
        <f t="shared" si="39"/>
        <v>1263474.1385259526</v>
      </c>
      <c r="R40" s="262">
        <f t="shared" si="39"/>
        <v>1780173.608602894</v>
      </c>
      <c r="S40" s="262">
        <f t="shared" si="39"/>
        <v>882429.18389577523</v>
      </c>
      <c r="T40" s="262">
        <f t="shared" ref="T40:BT44" si="52">T$33*T7</f>
        <v>1726164.2808187599</v>
      </c>
      <c r="U40" s="262">
        <f t="shared" si="52"/>
        <v>1779917.2387845952</v>
      </c>
      <c r="V40" s="262">
        <f t="shared" si="52"/>
        <v>1732276.430181131</v>
      </c>
      <c r="W40" s="262">
        <f t="shared" si="52"/>
        <v>1778612.9901642108</v>
      </c>
      <c r="X40" s="262">
        <f t="shared" si="52"/>
        <v>877633.0706516814</v>
      </c>
      <c r="Y40" s="262">
        <f t="shared" si="52"/>
        <v>2204583.5581251774</v>
      </c>
      <c r="Z40" s="262">
        <f t="shared" si="52"/>
        <v>1337743.982310971</v>
      </c>
      <c r="AA40" s="262">
        <f t="shared" si="52"/>
        <v>2728535.5564366397</v>
      </c>
      <c r="AB40" s="262">
        <f t="shared" si="52"/>
        <v>697824.06621642888</v>
      </c>
      <c r="AC40" s="262">
        <f t="shared" si="52"/>
        <v>555112.87055986351</v>
      </c>
      <c r="AD40" s="262">
        <f t="shared" si="52"/>
        <v>656796.54952759319</v>
      </c>
      <c r="AE40" s="262">
        <f t="shared" si="52"/>
        <v>1841869.3824202174</v>
      </c>
      <c r="AF40" s="262">
        <f t="shared" si="52"/>
        <v>1935452.219511084</v>
      </c>
      <c r="AG40" s="262">
        <f t="shared" si="52"/>
        <v>1893967.9341065963</v>
      </c>
      <c r="AH40" s="262">
        <f t="shared" si="52"/>
        <v>1789345.5860302194</v>
      </c>
      <c r="AI40" s="262">
        <f t="shared" si="52"/>
        <v>2916951.2767303418</v>
      </c>
      <c r="AJ40" s="262">
        <f t="shared" si="52"/>
        <v>592763.29428958241</v>
      </c>
      <c r="AK40" s="262">
        <f t="shared" si="52"/>
        <v>991647.47462304391</v>
      </c>
      <c r="AL40" s="262">
        <f t="shared" si="52"/>
        <v>1324219.316939323</v>
      </c>
      <c r="AM40" s="262">
        <f t="shared" si="52"/>
        <v>1500729.0067843073</v>
      </c>
      <c r="AN40" s="262">
        <f t="shared" si="52"/>
        <v>1346410.8888088968</v>
      </c>
      <c r="AO40" s="262">
        <f t="shared" si="52"/>
        <v>2020190.3892478473</v>
      </c>
      <c r="AP40" s="262">
        <f t="shared" si="52"/>
        <v>1001405.1145815692</v>
      </c>
      <c r="AQ40" s="262">
        <f t="shared" si="52"/>
        <v>1958899.1059752714</v>
      </c>
      <c r="AR40" s="262">
        <f t="shared" si="52"/>
        <v>1441930.9120381693</v>
      </c>
      <c r="AS40" s="262">
        <f t="shared" si="52"/>
        <v>1393681.3115149448</v>
      </c>
      <c r="AT40" s="262">
        <f t="shared" si="52"/>
        <v>439349.15697827504</v>
      </c>
      <c r="AU40" s="262">
        <f t="shared" si="52"/>
        <v>1402957.3002988722</v>
      </c>
      <c r="AV40" s="262">
        <f t="shared" si="52"/>
        <v>1603456.1585182627</v>
      </c>
      <c r="AW40" s="262">
        <f t="shared" si="52"/>
        <v>1849687.4574416485</v>
      </c>
      <c r="AX40" s="262">
        <f t="shared" si="52"/>
        <v>1743040.6605168667</v>
      </c>
      <c r="AY40" s="262">
        <f t="shared" si="52"/>
        <v>1703041.8796952961</v>
      </c>
      <c r="AZ40" s="262">
        <f t="shared" si="52"/>
        <v>2104286.3031564988</v>
      </c>
      <c r="BA40" s="262">
        <f t="shared" si="52"/>
        <v>1069301.4412464479</v>
      </c>
      <c r="BB40" s="262">
        <f t="shared" si="52"/>
        <v>1282670.335787846</v>
      </c>
      <c r="BC40" s="262">
        <f t="shared" si="52"/>
        <v>1650367.6234198539</v>
      </c>
      <c r="BD40" s="262">
        <f t="shared" si="52"/>
        <v>2007099.1754380921</v>
      </c>
      <c r="BE40" s="262">
        <f t="shared" si="52"/>
        <v>1788589.1862754519</v>
      </c>
      <c r="BF40" s="262">
        <f t="shared" si="52"/>
        <v>585924.69198740995</v>
      </c>
      <c r="BG40" s="262">
        <f t="shared" si="52"/>
        <v>2154097.6563782534</v>
      </c>
      <c r="BH40" s="262">
        <f t="shared" si="52"/>
        <v>2241448.1015461455</v>
      </c>
      <c r="BI40" s="262">
        <f t="shared" si="52"/>
        <v>2281327.7271954943</v>
      </c>
      <c r="BJ40" s="262">
        <f t="shared" si="52"/>
        <v>2461970.4072797145</v>
      </c>
      <c r="BK40" s="262">
        <f t="shared" si="52"/>
        <v>1765513.3189597838</v>
      </c>
      <c r="BL40" s="262">
        <f t="shared" si="52"/>
        <v>5220939.1168512581</v>
      </c>
      <c r="BM40" s="262">
        <f t="shared" si="52"/>
        <v>5235557.6146691237</v>
      </c>
      <c r="BN40" s="262">
        <f t="shared" si="52"/>
        <v>3780916.1489901766</v>
      </c>
      <c r="BO40" s="262">
        <f t="shared" si="52"/>
        <v>1931130.2977220987</v>
      </c>
      <c r="BP40" s="262">
        <f t="shared" si="52"/>
        <v>1731330.4656935481</v>
      </c>
      <c r="BQ40" s="262">
        <f t="shared" si="52"/>
        <v>1601818.2348021807</v>
      </c>
      <c r="BR40" s="276"/>
      <c r="BS40" s="276"/>
      <c r="BT40" s="262">
        <f t="shared" si="52"/>
        <v>1212515.7244284386</v>
      </c>
      <c r="BU40" s="262">
        <f t="shared" si="40"/>
        <v>1966926.0265304688</v>
      </c>
      <c r="BV40" s="262">
        <f t="shared" si="40"/>
        <v>1754994.1932595095</v>
      </c>
      <c r="BW40" s="262">
        <f t="shared" si="40"/>
        <v>828577.27788686205</v>
      </c>
      <c r="BX40" s="276"/>
      <c r="BY40" s="262">
        <f t="shared" si="40"/>
        <v>1493468.0553841095</v>
      </c>
      <c r="BZ40" s="262">
        <f t="shared" si="40"/>
        <v>723853.43082314834</v>
      </c>
      <c r="CA40" s="262">
        <f t="shared" si="40"/>
        <v>1481635.7088976731</v>
      </c>
      <c r="CB40" s="262">
        <f t="shared" si="40"/>
        <v>1092135.5562071863</v>
      </c>
      <c r="CC40" s="262">
        <f t="shared" si="40"/>
        <v>1360525.635741801</v>
      </c>
      <c r="CD40" s="262">
        <f t="shared" si="40"/>
        <v>1159350.4482580984</v>
      </c>
      <c r="CE40" s="262">
        <f t="shared" si="40"/>
        <v>1479072.4407191623</v>
      </c>
      <c r="CF40" s="262">
        <f t="shared" si="40"/>
        <v>1462295.9936476245</v>
      </c>
      <c r="CG40" s="262">
        <f t="shared" si="40"/>
        <v>1527506.6041340434</v>
      </c>
      <c r="CH40" s="262">
        <f t="shared" si="40"/>
        <v>1730432.8158634566</v>
      </c>
      <c r="CI40" s="262">
        <f t="shared" si="40"/>
        <v>3359168.5483754468</v>
      </c>
      <c r="CJ40" s="262">
        <f t="shared" si="40"/>
        <v>2429995.8615138242</v>
      </c>
      <c r="CK40" s="262">
        <f t="shared" si="40"/>
        <v>4204642.1317984862</v>
      </c>
      <c r="CL40" s="262">
        <f t="shared" si="40"/>
        <v>2092787.4590449012</v>
      </c>
      <c r="CM40" s="262">
        <f t="shared" si="40"/>
        <v>1067250.1711000132</v>
      </c>
      <c r="CN40" s="262">
        <f t="shared" si="40"/>
        <v>1751565.433229259</v>
      </c>
      <c r="CO40" s="262">
        <f t="shared" si="40"/>
        <v>2370048.7407578868</v>
      </c>
      <c r="CP40" s="262">
        <f t="shared" si="40"/>
        <v>1545286.8933775616</v>
      </c>
      <c r="CQ40" s="262">
        <f t="shared" si="40"/>
        <v>636719.63018516055</v>
      </c>
      <c r="CR40" s="262"/>
      <c r="CS40" s="262">
        <f t="shared" si="40"/>
        <v>6988286.9463305324</v>
      </c>
      <c r="CT40" s="262">
        <f t="shared" si="40"/>
        <v>2231803.7708506333</v>
      </c>
      <c r="CU40" s="262">
        <f t="shared" si="40"/>
        <v>3153473.0665799067</v>
      </c>
      <c r="CV40" s="262">
        <f t="shared" si="41"/>
        <v>2945499.6961834724</v>
      </c>
      <c r="CW40" s="262">
        <f t="shared" si="42"/>
        <v>1925997.84</v>
      </c>
      <c r="CX40" s="262">
        <f t="shared" ref="CX40" si="53">CX$33*CX7</f>
        <v>2600203.14</v>
      </c>
      <c r="CY40" s="262">
        <f t="shared" si="40"/>
        <v>2326469.9806335564</v>
      </c>
      <c r="CZ40" s="262">
        <f t="shared" si="51"/>
        <v>1629984.9423875767</v>
      </c>
      <c r="DA40" s="271"/>
      <c r="DB40" s="271"/>
      <c r="DC40" s="271"/>
      <c r="DD40" s="271"/>
    </row>
    <row r="41" spans="1:110" x14ac:dyDescent="0.35">
      <c r="C41" s="63" t="s">
        <v>269</v>
      </c>
      <c r="D41" s="262">
        <f t="shared" si="45"/>
        <v>1094099.2454128941</v>
      </c>
      <c r="E41" s="262">
        <f t="shared" si="45"/>
        <v>682203.05890451046</v>
      </c>
      <c r="F41" s="262">
        <f t="shared" si="45"/>
        <v>285174.57402224885</v>
      </c>
      <c r="G41" s="262">
        <f t="shared" si="45"/>
        <v>861877.74312788935</v>
      </c>
      <c r="H41" s="262">
        <f t="shared" si="45"/>
        <v>946416.10086831078</v>
      </c>
      <c r="I41" s="262">
        <f t="shared" si="45"/>
        <v>630254.64935374493</v>
      </c>
      <c r="J41" s="262">
        <f t="shared" si="45"/>
        <v>818588.292492309</v>
      </c>
      <c r="K41" s="262">
        <f t="shared" si="45"/>
        <v>990959.61407689482</v>
      </c>
      <c r="L41" s="263">
        <f t="shared" si="45"/>
        <v>0</v>
      </c>
      <c r="M41" s="263">
        <f t="shared" si="45"/>
        <v>0</v>
      </c>
      <c r="N41" s="262">
        <f t="shared" si="45"/>
        <v>757786.54196815973</v>
      </c>
      <c r="O41" s="262">
        <f t="shared" si="45"/>
        <v>1032342.4975324949</v>
      </c>
      <c r="P41" s="262">
        <f t="shared" si="45"/>
        <v>1953797.0569019767</v>
      </c>
      <c r="Q41" s="262">
        <f t="shared" si="45"/>
        <v>983094.85708494834</v>
      </c>
      <c r="R41" s="262">
        <f t="shared" si="45"/>
        <v>1339247.9232638616</v>
      </c>
      <c r="S41" s="262">
        <f t="shared" si="45"/>
        <v>663863.0334977993</v>
      </c>
      <c r="T41" s="262">
        <f t="shared" si="52"/>
        <v>1298615.998533472</v>
      </c>
      <c r="U41" s="262">
        <f t="shared" si="52"/>
        <v>1375988.4296659669</v>
      </c>
      <c r="V41" s="262">
        <f t="shared" si="52"/>
        <v>1467832.6411011599</v>
      </c>
      <c r="W41" s="262">
        <f t="shared" si="52"/>
        <v>1507095.6097789675</v>
      </c>
      <c r="X41" s="262">
        <f t="shared" si="52"/>
        <v>743656.40816210781</v>
      </c>
      <c r="Y41" s="262">
        <f t="shared" si="52"/>
        <v>1868038.8708589147</v>
      </c>
      <c r="Z41" s="262">
        <f t="shared" si="52"/>
        <v>1064375.3424988315</v>
      </c>
      <c r="AA41" s="262">
        <f t="shared" si="52"/>
        <v>2175018.2860373263</v>
      </c>
      <c r="AB41" s="262">
        <f t="shared" si="52"/>
        <v>556261.80163831764</v>
      </c>
      <c r="AC41" s="262">
        <f t="shared" si="52"/>
        <v>442501.34158382239</v>
      </c>
      <c r="AD41" s="262">
        <f t="shared" si="52"/>
        <v>523557.22543500899</v>
      </c>
      <c r="AE41" s="262">
        <f t="shared" si="52"/>
        <v>1464830.8796404582</v>
      </c>
      <c r="AF41" s="262">
        <f t="shared" si="52"/>
        <v>1539256.9116291853</v>
      </c>
      <c r="AG41" s="262">
        <f t="shared" si="52"/>
        <v>1483482.7943188976</v>
      </c>
      <c r="AH41" s="262">
        <f t="shared" si="52"/>
        <v>1401535.5498710871</v>
      </c>
      <c r="AI41" s="262">
        <f t="shared" si="52"/>
        <v>2087929.8946387453</v>
      </c>
      <c r="AJ41" s="262">
        <f t="shared" si="52"/>
        <v>425324.88814199105</v>
      </c>
      <c r="AK41" s="262">
        <f t="shared" si="52"/>
        <v>743924.26409492409</v>
      </c>
      <c r="AL41" s="262">
        <f t="shared" si="52"/>
        <v>994058.2760297152</v>
      </c>
      <c r="AM41" s="262">
        <f t="shared" si="52"/>
        <v>1166033.3001622364</v>
      </c>
      <c r="AN41" s="262">
        <f t="shared" si="52"/>
        <v>1046131.530046351</v>
      </c>
      <c r="AO41" s="262">
        <f t="shared" si="52"/>
        <v>1569361.7047101201</v>
      </c>
      <c r="AP41" s="262">
        <f t="shared" si="52"/>
        <v>777930.06346807093</v>
      </c>
      <c r="AQ41" s="262">
        <f t="shared" si="52"/>
        <v>1521748.275148002</v>
      </c>
      <c r="AR41" s="262">
        <f t="shared" si="52"/>
        <v>865161.67499977152</v>
      </c>
      <c r="AS41" s="262">
        <f t="shared" si="52"/>
        <v>1076533.2464252596</v>
      </c>
      <c r="AT41" s="262">
        <f t="shared" si="52"/>
        <v>339370.24940220814</v>
      </c>
      <c r="AU41" s="262">
        <f t="shared" si="52"/>
        <v>1083698.3782504906</v>
      </c>
      <c r="AV41" s="262">
        <f t="shared" si="52"/>
        <v>1243102.451730832</v>
      </c>
      <c r="AW41" s="262">
        <f t="shared" si="52"/>
        <v>1411435.2805043985</v>
      </c>
      <c r="AX41" s="262">
        <f t="shared" si="52"/>
        <v>1330056.6394119081</v>
      </c>
      <c r="AY41" s="262">
        <f t="shared" si="52"/>
        <v>1299534.8935885283</v>
      </c>
      <c r="AZ41" s="262">
        <f t="shared" si="52"/>
        <v>1715778.4721294083</v>
      </c>
      <c r="BA41" s="262">
        <f t="shared" si="52"/>
        <v>871879.64411283645</v>
      </c>
      <c r="BB41" s="262">
        <f t="shared" si="52"/>
        <v>981298.56984841102</v>
      </c>
      <c r="BC41" s="262">
        <f t="shared" si="52"/>
        <v>1278642.9595611813</v>
      </c>
      <c r="BD41" s="262">
        <f t="shared" si="52"/>
        <v>1667158.5567875679</v>
      </c>
      <c r="BE41" s="262">
        <f t="shared" si="52"/>
        <v>1395310.0046089399</v>
      </c>
      <c r="BF41" s="262">
        <f t="shared" si="52"/>
        <v>457090.19765455421</v>
      </c>
      <c r="BG41" s="262">
        <f t="shared" si="52"/>
        <v>1804460.3579362095</v>
      </c>
      <c r="BH41" s="262">
        <f t="shared" si="52"/>
        <v>1805992.8314241837</v>
      </c>
      <c r="BI41" s="262">
        <f t="shared" si="52"/>
        <v>1838124.879448371</v>
      </c>
      <c r="BJ41" s="262">
        <f t="shared" si="52"/>
        <v>2103946.614669757</v>
      </c>
      <c r="BK41" s="262">
        <f t="shared" si="52"/>
        <v>1508769.4635144244</v>
      </c>
      <c r="BL41" s="262">
        <f t="shared" si="52"/>
        <v>4345661.9594843425</v>
      </c>
      <c r="BM41" s="262">
        <f t="shared" si="52"/>
        <v>4312773.9835340222</v>
      </c>
      <c r="BN41" s="262">
        <f t="shared" si="52"/>
        <v>3146608.7144311015</v>
      </c>
      <c r="BO41" s="262">
        <f t="shared" si="52"/>
        <v>1648011.0089807843</v>
      </c>
      <c r="BP41" s="262">
        <f t="shared" si="52"/>
        <v>1323532.89029578</v>
      </c>
      <c r="BQ41" s="262">
        <f t="shared" si="52"/>
        <v>1224525.9700821743</v>
      </c>
      <c r="BR41" s="276"/>
      <c r="BS41" s="276"/>
      <c r="BT41" s="262">
        <f t="shared" si="52"/>
        <v>906941.65977775888</v>
      </c>
      <c r="BU41" s="262">
        <f t="shared" si="40"/>
        <v>1470449.3027129895</v>
      </c>
      <c r="BV41" s="262">
        <f t="shared" si="40"/>
        <v>1373336.9964746444</v>
      </c>
      <c r="BW41" s="262">
        <f t="shared" si="40"/>
        <v>648387.23371890793</v>
      </c>
      <c r="BX41" s="276"/>
      <c r="BY41" s="262">
        <f t="shared" si="40"/>
        <v>1186281.6572840551</v>
      </c>
      <c r="BZ41" s="262">
        <f t="shared" si="40"/>
        <v>643596.28373605979</v>
      </c>
      <c r="CA41" s="262">
        <f t="shared" si="40"/>
        <v>1205362.2611589106</v>
      </c>
      <c r="CB41" s="262">
        <f t="shared" si="40"/>
        <v>844560.88846857881</v>
      </c>
      <c r="CC41" s="262">
        <f t="shared" si="40"/>
        <v>1121294.3506153664</v>
      </c>
      <c r="CD41" s="262">
        <f t="shared" si="40"/>
        <v>910384.83289734845</v>
      </c>
      <c r="CE41" s="262">
        <f t="shared" si="40"/>
        <v>1207128.0447150059</v>
      </c>
      <c r="CF41" s="262">
        <f t="shared" si="40"/>
        <v>1217705.8156846215</v>
      </c>
      <c r="CG41" s="262">
        <f t="shared" si="40"/>
        <v>1223693.7298239344</v>
      </c>
      <c r="CH41" s="262">
        <f t="shared" si="40"/>
        <v>1408428.0843225881</v>
      </c>
      <c r="CI41" s="262">
        <f t="shared" si="40"/>
        <v>2815047.946611484</v>
      </c>
      <c r="CJ41" s="262">
        <f t="shared" si="40"/>
        <v>2061646.6954503634</v>
      </c>
      <c r="CK41" s="262">
        <f t="shared" si="40"/>
        <v>3526418.9083912559</v>
      </c>
      <c r="CL41" s="262">
        <f t="shared" si="40"/>
        <v>1684414.282945784</v>
      </c>
      <c r="CM41" s="262">
        <f t="shared" si="40"/>
        <v>858993.79027128639</v>
      </c>
      <c r="CN41" s="262">
        <f t="shared" si="40"/>
        <v>1428179.3586513093</v>
      </c>
      <c r="CO41" s="262">
        <f t="shared" si="40"/>
        <v>1932474.0180031315</v>
      </c>
      <c r="CP41" s="262">
        <f t="shared" si="40"/>
        <v>1663777.8523213279</v>
      </c>
      <c r="CQ41" s="262">
        <f t="shared" si="40"/>
        <v>668992.12415079272</v>
      </c>
      <c r="CR41" s="262"/>
      <c r="CS41" s="262">
        <f t="shared" si="40"/>
        <v>6138009.5191210601</v>
      </c>
      <c r="CT41" s="262">
        <f t="shared" si="40"/>
        <v>1850908.9747721169</v>
      </c>
      <c r="CU41" s="262">
        <f t="shared" si="40"/>
        <v>2596815.407686451</v>
      </c>
      <c r="CV41" s="262">
        <f t="shared" si="41"/>
        <v>2401260.1084847813</v>
      </c>
      <c r="CW41" s="262">
        <f t="shared" si="42"/>
        <v>2128010.52</v>
      </c>
      <c r="CX41" s="262">
        <f t="shared" ref="CX41" si="54">CX$33*CX8</f>
        <v>2776209.8760000002</v>
      </c>
      <c r="CY41" s="262">
        <f t="shared" si="40"/>
        <v>1801962.610175987</v>
      </c>
      <c r="CZ41" s="262">
        <f t="shared" si="51"/>
        <v>1674151.3322593453</v>
      </c>
      <c r="DA41" s="271"/>
      <c r="DB41" s="271"/>
      <c r="DC41" s="262">
        <f t="shared" ref="DB41:DC43" si="55">DC$33*DC8</f>
        <v>3011714.5811789036</v>
      </c>
      <c r="DD41" s="271"/>
    </row>
    <row r="42" spans="1:110" x14ac:dyDescent="0.35">
      <c r="C42" s="63" t="s">
        <v>270</v>
      </c>
      <c r="D42" s="262">
        <f t="shared" si="45"/>
        <v>974264.65162392147</v>
      </c>
      <c r="E42" s="262">
        <f t="shared" si="45"/>
        <v>607482.66513020999</v>
      </c>
      <c r="F42" s="262">
        <f t="shared" si="45"/>
        <v>295717.64535450895</v>
      </c>
      <c r="G42" s="262">
        <f t="shared" si="45"/>
        <v>904316.99398989044</v>
      </c>
      <c r="H42" s="262">
        <f t="shared" si="45"/>
        <v>799151.22629023204</v>
      </c>
      <c r="I42" s="262">
        <f t="shared" si="45"/>
        <v>532185.34156811493</v>
      </c>
      <c r="J42" s="262">
        <f t="shared" si="45"/>
        <v>691213.76651545498</v>
      </c>
      <c r="K42" s="262">
        <f t="shared" si="45"/>
        <v>836763.64980168303</v>
      </c>
      <c r="L42" s="263">
        <f t="shared" si="45"/>
        <v>0</v>
      </c>
      <c r="M42" s="263">
        <f t="shared" si="45"/>
        <v>0</v>
      </c>
      <c r="N42" s="262">
        <f t="shared" si="45"/>
        <v>760139.18398139114</v>
      </c>
      <c r="O42" s="262">
        <f t="shared" si="45"/>
        <v>996419.52066202171</v>
      </c>
      <c r="P42" s="262">
        <f t="shared" si="45"/>
        <v>1895929.5165684675</v>
      </c>
      <c r="Q42" s="262">
        <f t="shared" si="45"/>
        <v>1017873.687300463</v>
      </c>
      <c r="R42" s="262">
        <f t="shared" si="45"/>
        <v>1309496.8399455606</v>
      </c>
      <c r="S42" s="262">
        <f t="shared" si="45"/>
        <v>649115.46952667215</v>
      </c>
      <c r="T42" s="262">
        <f t="shared" si="52"/>
        <v>1269767.5440391835</v>
      </c>
      <c r="U42" s="262">
        <f t="shared" si="52"/>
        <v>1366768.1678656386</v>
      </c>
      <c r="V42" s="262">
        <f t="shared" si="52"/>
        <v>1498800.7262731486</v>
      </c>
      <c r="W42" s="262">
        <f t="shared" si="52"/>
        <v>1538892.0584333267</v>
      </c>
      <c r="X42" s="262">
        <f t="shared" si="52"/>
        <v>759345.94547160831</v>
      </c>
      <c r="Y42" s="262">
        <f t="shared" si="52"/>
        <v>1907450.4394788535</v>
      </c>
      <c r="Z42" s="262">
        <f t="shared" si="52"/>
        <v>1111675.1149537454</v>
      </c>
      <c r="AA42" s="262">
        <f t="shared" si="52"/>
        <v>2148077.9512585206</v>
      </c>
      <c r="AB42" s="262">
        <f t="shared" si="52"/>
        <v>549371.80018085835</v>
      </c>
      <c r="AC42" s="262">
        <f t="shared" si="52"/>
        <v>437020.40638485539</v>
      </c>
      <c r="AD42" s="262">
        <f t="shared" si="52"/>
        <v>517072.31125307846</v>
      </c>
      <c r="AE42" s="262">
        <f t="shared" si="52"/>
        <v>1474385.4876362989</v>
      </c>
      <c r="AF42" s="262">
        <f t="shared" si="52"/>
        <v>1549296.9760488505</v>
      </c>
      <c r="AG42" s="262">
        <f t="shared" si="52"/>
        <v>1455512.672931331</v>
      </c>
      <c r="AH42" s="262">
        <f t="shared" si="52"/>
        <v>1375110.491482134</v>
      </c>
      <c r="AI42" s="262">
        <f t="shared" si="52"/>
        <v>1820404.3956678666</v>
      </c>
      <c r="AJ42" s="262">
        <f t="shared" si="52"/>
        <v>392709.17350779526</v>
      </c>
      <c r="AK42" s="262">
        <f t="shared" si="52"/>
        <v>669505.25785352336</v>
      </c>
      <c r="AL42" s="262">
        <f t="shared" si="52"/>
        <v>976557.14288814203</v>
      </c>
      <c r="AM42" s="262">
        <f t="shared" si="52"/>
        <v>1105240.4948895364</v>
      </c>
      <c r="AN42" s="262">
        <f t="shared" si="52"/>
        <v>991589.97416892368</v>
      </c>
      <c r="AO42" s="262">
        <f t="shared" si="52"/>
        <v>1523940.2968089909</v>
      </c>
      <c r="AP42" s="262">
        <f t="shared" si="52"/>
        <v>755414.74489919993</v>
      </c>
      <c r="AQ42" s="262">
        <f t="shared" si="52"/>
        <v>1477704.9236880499</v>
      </c>
      <c r="AR42" s="262">
        <f t="shared" si="52"/>
        <v>795382.96788587281</v>
      </c>
      <c r="AS42" s="262">
        <f t="shared" si="52"/>
        <v>1035245.5826471365</v>
      </c>
      <c r="AT42" s="262">
        <f t="shared" si="52"/>
        <v>326354.57636085642</v>
      </c>
      <c r="AU42" s="262">
        <f t="shared" si="52"/>
        <v>1042135.9142702295</v>
      </c>
      <c r="AV42" s="262">
        <f t="shared" si="52"/>
        <v>1257397.3313221657</v>
      </c>
      <c r="AW42" s="262">
        <f t="shared" si="52"/>
        <v>1313250.6128318654</v>
      </c>
      <c r="AX42" s="262">
        <f t="shared" si="52"/>
        <v>1237532.9715327579</v>
      </c>
      <c r="AY42" s="262">
        <f t="shared" si="52"/>
        <v>1209134.4314360928</v>
      </c>
      <c r="AZ42" s="262">
        <f t="shared" si="52"/>
        <v>1685540.6838323411</v>
      </c>
      <c r="BA42" s="262">
        <f t="shared" si="52"/>
        <v>856514.19191288727</v>
      </c>
      <c r="BB42" s="262">
        <f t="shared" si="52"/>
        <v>973600.03801566432</v>
      </c>
      <c r="BC42" s="262">
        <f t="shared" si="52"/>
        <v>1240554.0852097617</v>
      </c>
      <c r="BD42" s="262">
        <f t="shared" si="52"/>
        <v>1811686.8608456862</v>
      </c>
      <c r="BE42" s="262">
        <f t="shared" si="52"/>
        <v>1381852.7929219974</v>
      </c>
      <c r="BF42" s="262">
        <f t="shared" si="52"/>
        <v>452681.74395641877</v>
      </c>
      <c r="BG42" s="262">
        <f t="shared" si="52"/>
        <v>1781989.4967997957</v>
      </c>
      <c r="BH42" s="262">
        <f t="shared" si="52"/>
        <v>1743336.1117724366</v>
      </c>
      <c r="BI42" s="262">
        <f t="shared" si="52"/>
        <v>1774353.377561691</v>
      </c>
      <c r="BJ42" s="262">
        <f t="shared" si="52"/>
        <v>2100110.8930353099</v>
      </c>
      <c r="BK42" s="262">
        <f t="shared" si="52"/>
        <v>1506018.8140291933</v>
      </c>
      <c r="BL42" s="262">
        <f t="shared" si="52"/>
        <v>4265772.2016053768</v>
      </c>
      <c r="BM42" s="262">
        <f t="shared" si="52"/>
        <v>4199891.8680300796</v>
      </c>
      <c r="BN42" s="262">
        <f t="shared" si="52"/>
        <v>3071371.0034020641</v>
      </c>
      <c r="BO42" s="262">
        <f t="shared" si="52"/>
        <v>1504921.5836782181</v>
      </c>
      <c r="BP42" s="262">
        <f t="shared" si="52"/>
        <v>1308378.8931377917</v>
      </c>
      <c r="BQ42" s="262">
        <f t="shared" si="52"/>
        <v>1210505.5681665398</v>
      </c>
      <c r="BR42" s="276"/>
      <c r="BS42" s="276"/>
      <c r="BT42" s="262">
        <f t="shared" si="52"/>
        <v>922253.0019547235</v>
      </c>
      <c r="BU42" s="262">
        <f t="shared" si="40"/>
        <v>1460393.4217723489</v>
      </c>
      <c r="BV42" s="262">
        <f t="shared" si="40"/>
        <v>1364120.5748572713</v>
      </c>
      <c r="BW42" s="262">
        <f t="shared" si="40"/>
        <v>644035.92727874394</v>
      </c>
      <c r="BX42" s="276"/>
      <c r="BY42" s="262">
        <f t="shared" si="40"/>
        <v>1176180.7940936568</v>
      </c>
      <c r="BZ42" s="262">
        <f t="shared" si="40"/>
        <v>680996.32373744587</v>
      </c>
      <c r="CA42" s="262">
        <f t="shared" si="40"/>
        <v>1173829.9944568465</v>
      </c>
      <c r="CB42" s="262">
        <f t="shared" si="40"/>
        <v>848432.54419353942</v>
      </c>
      <c r="CC42" s="262">
        <f t="shared" si="40"/>
        <v>1087748.8698328962</v>
      </c>
      <c r="CD42" s="262">
        <f t="shared" si="40"/>
        <v>963176.52317915985</v>
      </c>
      <c r="CE42" s="262">
        <f t="shared" si="40"/>
        <v>1264564.5010560043</v>
      </c>
      <c r="CF42" s="276"/>
      <c r="CG42" s="262">
        <f t="shared" si="40"/>
        <v>1283075.5890774068</v>
      </c>
      <c r="CH42" s="262">
        <f t="shared" si="40"/>
        <v>1401023.08085733</v>
      </c>
      <c r="CI42" s="262">
        <f t="shared" si="40"/>
        <v>2795565.9545361325</v>
      </c>
      <c r="CJ42" s="262">
        <f t="shared" si="40"/>
        <v>2025598.6869339577</v>
      </c>
      <c r="CK42" s="262">
        <f t="shared" si="40"/>
        <v>3469917.5172656579</v>
      </c>
      <c r="CL42" s="262">
        <f t="shared" si="40"/>
        <v>1613541.8605923166</v>
      </c>
      <c r="CM42" s="262">
        <f t="shared" si="40"/>
        <v>822851.2739559745</v>
      </c>
      <c r="CN42" s="262">
        <f t="shared" si="40"/>
        <v>1403010.0341734565</v>
      </c>
      <c r="CO42" s="262">
        <f t="shared" si="40"/>
        <v>1898417.3252568699</v>
      </c>
      <c r="CP42" s="262">
        <f t="shared" si="40"/>
        <v>1780895.5716746862</v>
      </c>
      <c r="CQ42" s="262">
        <f t="shared" si="40"/>
        <v>704795.95484214742</v>
      </c>
      <c r="CR42" s="262"/>
      <c r="CS42" s="262">
        <f t="shared" si="40"/>
        <v>6177475.0257075941</v>
      </c>
      <c r="CT42" s="262">
        <f t="shared" si="40"/>
        <v>1807210.4306087294</v>
      </c>
      <c r="CU42" s="262">
        <f t="shared" si="40"/>
        <v>2520192.7742854478</v>
      </c>
      <c r="CV42" s="262">
        <f t="shared" si="41"/>
        <v>2503450.7045820151</v>
      </c>
      <c r="CW42" s="262">
        <f t="shared" si="42"/>
        <v>2343943.6800000002</v>
      </c>
      <c r="CX42" s="262">
        <f t="shared" ref="CX42" si="56">CX$33*CX9</f>
        <v>2963160.0359999998</v>
      </c>
      <c r="CY42" s="262">
        <f t="shared" si="40"/>
        <v>1839683.7442551958</v>
      </c>
      <c r="CZ42" s="262">
        <f t="shared" si="51"/>
        <v>1640238.4228265935</v>
      </c>
      <c r="DA42" s="271"/>
      <c r="DB42" s="262">
        <f t="shared" si="55"/>
        <v>2373741.4684591522</v>
      </c>
      <c r="DC42" s="262">
        <f t="shared" si="55"/>
        <v>3234804.550155119</v>
      </c>
      <c r="DD42" s="271"/>
    </row>
    <row r="43" spans="1:110" x14ac:dyDescent="0.35">
      <c r="C43" s="63" t="s">
        <v>271</v>
      </c>
      <c r="D43" s="262">
        <f t="shared" si="45"/>
        <v>962112.28569779312</v>
      </c>
      <c r="E43" s="262">
        <f t="shared" si="45"/>
        <v>599905.30755274172</v>
      </c>
      <c r="F43" s="262">
        <f t="shared" si="45"/>
        <v>298310.7758499718</v>
      </c>
      <c r="G43" s="262">
        <f t="shared" si="45"/>
        <v>907744.4921793252</v>
      </c>
      <c r="H43" s="262">
        <f t="shared" si="45"/>
        <v>728552.28289630509</v>
      </c>
      <c r="I43" s="262">
        <f t="shared" si="45"/>
        <v>485170.80718660867</v>
      </c>
      <c r="J43" s="262">
        <f t="shared" si="45"/>
        <v>630150.27819190081</v>
      </c>
      <c r="K43" s="262">
        <f t="shared" si="45"/>
        <v>762841.93435781507</v>
      </c>
      <c r="L43" s="263">
        <f t="shared" si="45"/>
        <v>0</v>
      </c>
      <c r="M43" s="263">
        <f t="shared" si="45"/>
        <v>0</v>
      </c>
      <c r="N43" s="262">
        <f t="shared" si="45"/>
        <v>669656.89190784749</v>
      </c>
      <c r="O43" s="262">
        <f t="shared" si="45"/>
        <v>941292.56362981093</v>
      </c>
      <c r="P43" s="262">
        <f t="shared" si="45"/>
        <v>1751357.4938299942</v>
      </c>
      <c r="Q43" s="262">
        <f t="shared" si="45"/>
        <v>1027918.6955305443</v>
      </c>
      <c r="R43" s="262">
        <f t="shared" si="45"/>
        <v>1305920.2687551554</v>
      </c>
      <c r="S43" s="262">
        <f t="shared" si="45"/>
        <v>647342.56896155735</v>
      </c>
      <c r="T43" s="262">
        <f t="shared" si="52"/>
        <v>1266299.4837293085</v>
      </c>
      <c r="U43" s="262">
        <f t="shared" si="52"/>
        <v>1256595.0822872501</v>
      </c>
      <c r="V43" s="262">
        <f t="shared" si="52"/>
        <v>1488137.1724888894</v>
      </c>
      <c r="W43" s="262">
        <f t="shared" si="52"/>
        <v>1527943.26587831</v>
      </c>
      <c r="X43" s="262">
        <f t="shared" si="52"/>
        <v>753943.40850424906</v>
      </c>
      <c r="Y43" s="262">
        <f t="shared" si="52"/>
        <v>1893879.455694526</v>
      </c>
      <c r="Z43" s="262">
        <f t="shared" si="52"/>
        <v>1097391.8967547053</v>
      </c>
      <c r="AA43" s="262">
        <f t="shared" si="52"/>
        <v>1949196.0626317549</v>
      </c>
      <c r="AB43" s="262">
        <f t="shared" si="52"/>
        <v>498507.67715671868</v>
      </c>
      <c r="AC43" s="262">
        <f t="shared" si="52"/>
        <v>396558.44654800009</v>
      </c>
      <c r="AD43" s="262">
        <f t="shared" si="52"/>
        <v>469198.66786021687</v>
      </c>
      <c r="AE43" s="262">
        <f t="shared" si="52"/>
        <v>1461761.995067386</v>
      </c>
      <c r="AF43" s="262">
        <f t="shared" si="52"/>
        <v>1536032.1012734307</v>
      </c>
      <c r="AG43" s="262">
        <f t="shared" si="52"/>
        <v>1431750.2374480558</v>
      </c>
      <c r="AH43" s="262">
        <f t="shared" si="52"/>
        <v>1352660.6874069751</v>
      </c>
      <c r="AI43" s="262">
        <f t="shared" si="52"/>
        <v>1789023.2502572478</v>
      </c>
      <c r="AJ43" s="262">
        <f t="shared" si="52"/>
        <v>363003.37107896234</v>
      </c>
      <c r="AK43" s="262">
        <f t="shared" si="52"/>
        <v>613462.47529697022</v>
      </c>
      <c r="AL43" s="262">
        <f t="shared" si="52"/>
        <v>901220.0465573353</v>
      </c>
      <c r="AM43" s="262">
        <f t="shared" si="52"/>
        <v>996749.22846864269</v>
      </c>
      <c r="AN43" s="262">
        <f t="shared" si="52"/>
        <v>894254.73123738437</v>
      </c>
      <c r="AO43" s="262">
        <f t="shared" si="52"/>
        <v>1441372.3697139006</v>
      </c>
      <c r="AP43" s="262">
        <f t="shared" si="52"/>
        <v>714485.95673473086</v>
      </c>
      <c r="AQ43" s="262">
        <f t="shared" si="52"/>
        <v>1397642.0546487495</v>
      </c>
      <c r="AR43" s="262">
        <f t="shared" si="52"/>
        <v>687708.83555233851</v>
      </c>
      <c r="AS43" s="262">
        <f t="shared" si="52"/>
        <v>939577.68348313135</v>
      </c>
      <c r="AT43" s="262">
        <f t="shared" si="52"/>
        <v>296195.88046652777</v>
      </c>
      <c r="AU43" s="262">
        <f t="shared" si="52"/>
        <v>945831.27387112624</v>
      </c>
      <c r="AV43" s="262">
        <f t="shared" si="52"/>
        <v>1167829.164283176</v>
      </c>
      <c r="AW43" s="262">
        <f t="shared" si="52"/>
        <v>1198239.8965383759</v>
      </c>
      <c r="AX43" s="262">
        <f t="shared" si="52"/>
        <v>1129153.3887615176</v>
      </c>
      <c r="AY43" s="262">
        <f t="shared" si="52"/>
        <v>1103241.9112302859</v>
      </c>
      <c r="AZ43" s="262">
        <f t="shared" si="52"/>
        <v>1496875.0751258519</v>
      </c>
      <c r="BA43" s="262">
        <f t="shared" si="52"/>
        <v>760643.01364172238</v>
      </c>
      <c r="BB43" s="262">
        <f t="shared" si="52"/>
        <v>902612.16043548111</v>
      </c>
      <c r="BC43" s="262">
        <f t="shared" si="52"/>
        <v>1172367.7919252303</v>
      </c>
      <c r="BD43" s="262">
        <f t="shared" si="52"/>
        <v>1645440.5633566242</v>
      </c>
      <c r="BE43" s="262">
        <f t="shared" si="52"/>
        <v>1257354.9545718217</v>
      </c>
      <c r="BF43" s="262">
        <f t="shared" si="52"/>
        <v>411897.44415847125</v>
      </c>
      <c r="BG43" s="262">
        <f t="shared" si="52"/>
        <v>1762775.6503499614</v>
      </c>
      <c r="BH43" s="262">
        <f t="shared" si="52"/>
        <v>1743336.1117724366</v>
      </c>
      <c r="BI43" s="262">
        <f t="shared" si="52"/>
        <v>1774353.377561691</v>
      </c>
      <c r="BJ43" s="262">
        <f t="shared" si="52"/>
        <v>2082706.8282219514</v>
      </c>
      <c r="BK43" s="262">
        <f t="shared" si="52"/>
        <v>1493538.1163972607</v>
      </c>
      <c r="BL43" s="262">
        <f t="shared" si="52"/>
        <v>4281095.7350050444</v>
      </c>
      <c r="BM43" s="262">
        <f t="shared" si="52"/>
        <v>4168949.3061797046</v>
      </c>
      <c r="BN43" s="262">
        <f t="shared" si="52"/>
        <v>3044595.7148893042</v>
      </c>
      <c r="BO43" s="262">
        <f t="shared" si="52"/>
        <v>1428859.7208642331</v>
      </c>
      <c r="BP43" s="262">
        <f t="shared" si="52"/>
        <v>1230813.379831718</v>
      </c>
      <c r="BQ43" s="262">
        <f t="shared" si="52"/>
        <v>1138742.3455655393</v>
      </c>
      <c r="BR43" s="276"/>
      <c r="BS43" s="276"/>
      <c r="BT43" s="262">
        <f t="shared" si="52"/>
        <v>919540.26623066992</v>
      </c>
      <c r="BU43" s="262">
        <f t="shared" si="40"/>
        <v>1485498.5362938885</v>
      </c>
      <c r="BV43" s="262">
        <f t="shared" si="40"/>
        <v>1386000.0360991512</v>
      </c>
      <c r="BW43" s="262">
        <f t="shared" si="40"/>
        <v>654365.77595121029</v>
      </c>
      <c r="BX43" s="276"/>
      <c r="BY43" s="262">
        <f t="shared" si="40"/>
        <v>1146502.5638709106</v>
      </c>
      <c r="BZ43" s="262">
        <f t="shared" si="40"/>
        <v>594285.43265707081</v>
      </c>
      <c r="CA43" s="262">
        <f t="shared" si="40"/>
        <v>1083915.4219588989</v>
      </c>
      <c r="CB43" s="262">
        <f t="shared" si="40"/>
        <v>782785.60737805534</v>
      </c>
      <c r="CC43" s="262">
        <f t="shared" si="40"/>
        <v>1006411.7978164228</v>
      </c>
      <c r="CD43" s="262">
        <f t="shared" si="40"/>
        <v>905267.05788125785</v>
      </c>
      <c r="CE43" s="262">
        <f t="shared" si="40"/>
        <v>1206279.4929515379</v>
      </c>
      <c r="CF43" s="276"/>
      <c r="CG43" s="262">
        <f t="shared" si="40"/>
        <v>1216909.6990956331</v>
      </c>
      <c r="CH43" s="262">
        <f t="shared" si="40"/>
        <v>1365337.0262316666</v>
      </c>
      <c r="CI43" s="262">
        <f t="shared" si="40"/>
        <v>2775685.7924959445</v>
      </c>
      <c r="CJ43" s="262">
        <f t="shared" si="40"/>
        <v>2028935.2972852772</v>
      </c>
      <c r="CK43" s="262">
        <f t="shared" si="40"/>
        <v>3456631.3578708507</v>
      </c>
      <c r="CL43" s="262">
        <f t="shared" si="40"/>
        <v>1616658.9051350974</v>
      </c>
      <c r="CM43" s="262">
        <f t="shared" si="40"/>
        <v>824440.8602788623</v>
      </c>
      <c r="CN43" s="262">
        <f t="shared" si="40"/>
        <v>1245968.5906428199</v>
      </c>
      <c r="CO43" s="262">
        <f t="shared" si="40"/>
        <v>1685924.0501410265</v>
      </c>
      <c r="CP43" s="262">
        <f t="shared" si="40"/>
        <v>1646121.9147303693</v>
      </c>
      <c r="CQ43" s="262">
        <f t="shared" si="40"/>
        <v>668403.56802983885</v>
      </c>
      <c r="CR43" s="262"/>
      <c r="CS43" s="262">
        <f t="shared" si="40"/>
        <v>5525192.5233734567</v>
      </c>
      <c r="CT43" s="262">
        <f t="shared" si="40"/>
        <v>1795918.0545384665</v>
      </c>
      <c r="CU43" s="262">
        <f t="shared" si="40"/>
        <v>2497498.4293397423</v>
      </c>
      <c r="CV43" s="262">
        <f t="shared" si="41"/>
        <v>2609579.3768871669</v>
      </c>
      <c r="CW43" s="262">
        <f t="shared" si="42"/>
        <v>2090060.6400000001</v>
      </c>
      <c r="CX43" s="262">
        <f t="shared" ref="CX43" si="57">CX$33*CX10</f>
        <v>2650132.5120000001</v>
      </c>
      <c r="CY43" s="262">
        <f t="shared" si="40"/>
        <v>1825319.5602309161</v>
      </c>
      <c r="CZ43" s="262">
        <f t="shared" si="51"/>
        <v>1294183.4580097755</v>
      </c>
      <c r="DA43" s="262">
        <f t="shared" si="51"/>
        <v>2238222.3371251291</v>
      </c>
      <c r="DB43" s="262">
        <f t="shared" si="55"/>
        <v>2210035.1602895553</v>
      </c>
      <c r="DC43" s="262">
        <f t="shared" si="55"/>
        <v>2955942.0889348499</v>
      </c>
      <c r="DD43" s="271"/>
    </row>
    <row r="44" spans="1:110" x14ac:dyDescent="0.35">
      <c r="C44" s="63" t="s">
        <v>272</v>
      </c>
      <c r="D44" s="262">
        <f t="shared" si="45"/>
        <v>1176421.7242673144</v>
      </c>
      <c r="E44" s="262">
        <f t="shared" si="45"/>
        <v>733533.54571961961</v>
      </c>
      <c r="F44" s="262">
        <f t="shared" si="45"/>
        <v>368823.94484363135</v>
      </c>
      <c r="G44" s="262">
        <f t="shared" si="45"/>
        <v>1106383.1439225757</v>
      </c>
      <c r="H44" s="262">
        <f t="shared" si="45"/>
        <v>1134580.3920927371</v>
      </c>
      <c r="I44" s="262">
        <f t="shared" si="45"/>
        <v>755560.44167674368</v>
      </c>
      <c r="J44" s="262">
        <f t="shared" si="45"/>
        <v>981338.15031923237</v>
      </c>
      <c r="K44" s="262">
        <f t="shared" si="45"/>
        <v>1187979.9450325232</v>
      </c>
      <c r="L44" s="263">
        <f t="shared" si="45"/>
        <v>0</v>
      </c>
      <c r="M44" s="263">
        <f t="shared" si="45"/>
        <v>0</v>
      </c>
      <c r="N44" s="262">
        <f t="shared" si="45"/>
        <v>818748.4782365741</v>
      </c>
      <c r="O44" s="262">
        <f t="shared" si="45"/>
        <v>1192756.4236684947</v>
      </c>
      <c r="P44" s="262">
        <f t="shared" si="45"/>
        <v>2078392.1077935835</v>
      </c>
      <c r="Q44" s="262">
        <f t="shared" si="45"/>
        <v>1246047.2499465947</v>
      </c>
      <c r="R44" s="262">
        <f t="shared" si="45"/>
        <v>1647986.7782807809</v>
      </c>
      <c r="S44" s="262">
        <f t="shared" si="45"/>
        <v>816904.3855057708</v>
      </c>
      <c r="T44" s="262">
        <f t="shared" si="52"/>
        <v>1597987.9143149571</v>
      </c>
      <c r="U44" s="262">
        <f t="shared" si="52"/>
        <v>1613777.1139469969</v>
      </c>
      <c r="V44" s="262">
        <f t="shared" si="52"/>
        <v>1691604.3300204105</v>
      </c>
      <c r="W44" s="262">
        <f t="shared" si="52"/>
        <v>1736852.9543969668</v>
      </c>
      <c r="X44" s="262">
        <f t="shared" si="52"/>
        <v>857027.13297799637</v>
      </c>
      <c r="Y44" s="262">
        <f t="shared" si="52"/>
        <v>2152822.1638543052</v>
      </c>
      <c r="Z44" s="262">
        <f t="shared" si="52"/>
        <v>1299833.9561915777</v>
      </c>
      <c r="AA44" s="262">
        <f t="shared" si="52"/>
        <v>2493930.541806052</v>
      </c>
      <c r="AB44" s="262">
        <f t="shared" si="52"/>
        <v>637823.73934581841</v>
      </c>
      <c r="AC44" s="262">
        <f t="shared" si="52"/>
        <v>507383.14139723434</v>
      </c>
      <c r="AD44" s="262">
        <f t="shared" si="52"/>
        <v>600323.8516557453</v>
      </c>
      <c r="AE44" s="262">
        <f t="shared" si="52"/>
        <v>1751913.5332238071</v>
      </c>
      <c r="AF44" s="262">
        <f t="shared" si="52"/>
        <v>1840925.8379734193</v>
      </c>
      <c r="AG44" s="262">
        <f t="shared" si="52"/>
        <v>1798007.4346386231</v>
      </c>
      <c r="AH44" s="262">
        <f t="shared" si="52"/>
        <v>1698685.9222290639</v>
      </c>
      <c r="AI44" s="262">
        <f t="shared" si="52"/>
        <v>2259730.8197438833</v>
      </c>
      <c r="AJ44" s="262">
        <f t="shared" si="52"/>
        <v>560921.74250597623</v>
      </c>
      <c r="AK44" s="262">
        <f t="shared" si="52"/>
        <v>884935.13633399305</v>
      </c>
      <c r="AL44" s="262">
        <f t="shared" si="52"/>
        <v>1331700.7357883547</v>
      </c>
      <c r="AM44" s="262">
        <f t="shared" si="52"/>
        <v>1331456.0300950704</v>
      </c>
      <c r="AN44" s="262">
        <f t="shared" si="52"/>
        <v>1194544.0441186351</v>
      </c>
      <c r="AO44" s="262">
        <f t="shared" si="52"/>
        <v>1992529.125668169</v>
      </c>
      <c r="AP44" s="262">
        <f t="shared" si="52"/>
        <v>987693.47088109993</v>
      </c>
      <c r="AQ44" s="262">
        <f t="shared" si="52"/>
        <v>1932077.0674264431</v>
      </c>
      <c r="AR44" s="262">
        <f t="shared" si="52"/>
        <v>1023897.4323440534</v>
      </c>
      <c r="AS44" s="262">
        <f t="shared" si="52"/>
        <v>1378967.2502340518</v>
      </c>
      <c r="AT44" s="262">
        <f t="shared" si="52"/>
        <v>434710.6428746024</v>
      </c>
      <c r="AU44" s="262">
        <f t="shared" si="52"/>
        <v>1388145.3059637868</v>
      </c>
      <c r="AV44" s="262">
        <f t="shared" si="52"/>
        <v>1534658.6552888337</v>
      </c>
      <c r="AW44" s="262">
        <f t="shared" si="52"/>
        <v>1667345.6334531822</v>
      </c>
      <c r="AX44" s="262">
        <f t="shared" si="52"/>
        <v>1571212.0566919239</v>
      </c>
      <c r="AY44" s="262">
        <f t="shared" si="52"/>
        <v>1535156.3477785164</v>
      </c>
      <c r="AZ44" s="262">
        <f t="shared" si="52"/>
        <v>1893348.2867754647</v>
      </c>
      <c r="BA44" s="262">
        <f t="shared" si="52"/>
        <v>962112.45056986308</v>
      </c>
      <c r="BB44" s="262">
        <f t="shared" si="52"/>
        <v>1223326.7182235268</v>
      </c>
      <c r="BC44" s="262">
        <f t="shared" si="52"/>
        <v>1628103.3237613642</v>
      </c>
      <c r="BD44" s="262">
        <f t="shared" si="52"/>
        <v>1743366.5369608216</v>
      </c>
      <c r="BE44" s="262">
        <f t="shared" si="52"/>
        <v>1658982.1702754162</v>
      </c>
      <c r="BF44" s="262">
        <f t="shared" si="52"/>
        <v>543466.67451087292</v>
      </c>
      <c r="BG44" s="262">
        <f t="shared" si="52"/>
        <v>2062917.5827613997</v>
      </c>
      <c r="BH44" s="262">
        <f t="shared" si="52"/>
        <v>2212818.4390061963</v>
      </c>
      <c r="BI44" s="262">
        <f t="shared" si="52"/>
        <v>2252188.6884965468</v>
      </c>
      <c r="BJ44" s="262">
        <f t="shared" si="52"/>
        <v>2401499.9808336208</v>
      </c>
      <c r="BK44" s="262">
        <f t="shared" ref="BK44:BT44" si="58">BK$33*BK11</f>
        <v>1722149.1327055229</v>
      </c>
      <c r="BL44" s="262">
        <f t="shared" si="58"/>
        <v>5218938.594088994</v>
      </c>
      <c r="BM44" s="262">
        <f t="shared" si="58"/>
        <v>5086044.4571003364</v>
      </c>
      <c r="BN44" s="262">
        <f t="shared" si="58"/>
        <v>3617728.1604034011</v>
      </c>
      <c r="BO44" s="262">
        <f t="shared" si="58"/>
        <v>1823782.4439040925</v>
      </c>
      <c r="BP44" s="262">
        <f t="shared" si="58"/>
        <v>1739922.3165645357</v>
      </c>
      <c r="BQ44" s="262">
        <f t="shared" si="58"/>
        <v>1609767.3719938118</v>
      </c>
      <c r="BR44" s="276"/>
      <c r="BS44" s="276"/>
      <c r="BT44" s="262">
        <f t="shared" si="58"/>
        <v>1152838.0270225999</v>
      </c>
      <c r="BU44" s="262">
        <f t="shared" si="40"/>
        <v>1827732.7162073839</v>
      </c>
      <c r="BV44" s="262">
        <f t="shared" si="40"/>
        <v>1662901.2699286477</v>
      </c>
      <c r="BW44" s="262">
        <f t="shared" si="40"/>
        <v>785097.87264483818</v>
      </c>
      <c r="BX44" s="276"/>
      <c r="BY44" s="262">
        <f t="shared" si="40"/>
        <v>1395682.8945741663</v>
      </c>
      <c r="BZ44" s="262">
        <f t="shared" si="40"/>
        <v>581673.71190780529</v>
      </c>
      <c r="CA44" s="262">
        <f t="shared" si="40"/>
        <v>1452525.0183321722</v>
      </c>
      <c r="CB44" s="262">
        <f t="shared" si="40"/>
        <v>1038629.8267344155</v>
      </c>
      <c r="CC44" s="262">
        <f t="shared" si="40"/>
        <v>1321437.3031972081</v>
      </c>
      <c r="CD44" s="262">
        <f t="shared" si="40"/>
        <v>1168870.4431918082</v>
      </c>
      <c r="CE44" s="262">
        <f t="shared" si="40"/>
        <v>1485453.5990160787</v>
      </c>
      <c r="CF44" s="276"/>
      <c r="CG44" s="262">
        <f t="shared" si="40"/>
        <v>1543322.0759902226</v>
      </c>
      <c r="CH44" s="262">
        <f t="shared" si="40"/>
        <v>1609793.0674956879</v>
      </c>
      <c r="CI44" s="262">
        <f t="shared" si="40"/>
        <v>3220026.0862365942</v>
      </c>
      <c r="CJ44" s="262">
        <f t="shared" si="40"/>
        <v>2392294.0180068817</v>
      </c>
      <c r="CK44" s="262">
        <f t="shared" si="40"/>
        <v>4123010.3237967831</v>
      </c>
      <c r="CL44" s="262">
        <f t="shared" si="40"/>
        <v>2061476.1227983295</v>
      </c>
      <c r="CM44" s="262">
        <f t="shared" si="40"/>
        <v>1051282.458362584</v>
      </c>
      <c r="CN44" s="262">
        <f t="shared" si="40"/>
        <v>1575984.8872300065</v>
      </c>
      <c r="CO44" s="262">
        <f t="shared" si="40"/>
        <v>2132470.1473165285</v>
      </c>
      <c r="CP44" s="262">
        <f t="shared" si="40"/>
        <v>1328609.3037196314</v>
      </c>
      <c r="CQ44" s="262">
        <f t="shared" si="40"/>
        <v>563542.48581324099</v>
      </c>
      <c r="CR44" s="262"/>
      <c r="CS44" s="262">
        <f t="shared" si="40"/>
        <v>6577481.1928047379</v>
      </c>
      <c r="CT44" s="262">
        <f t="shared" si="40"/>
        <v>2145239.2929905965</v>
      </c>
      <c r="CU44" s="262">
        <f t="shared" si="40"/>
        <v>3027694.2149505448</v>
      </c>
      <c r="CV44" s="262">
        <f t="shared" si="40"/>
        <v>2631676.9173604809</v>
      </c>
      <c r="CW44" s="262">
        <f t="shared" si="42"/>
        <v>1578980.1600000001</v>
      </c>
      <c r="CX44" s="262">
        <f t="shared" ref="CX44" si="59">CX$33*CX11</f>
        <v>1957960.9439999999</v>
      </c>
      <c r="CY44" s="262">
        <f t="shared" si="40"/>
        <v>2029009.3899145976</v>
      </c>
      <c r="CZ44" s="262">
        <f t="shared" si="51"/>
        <v>1620816.6961047826</v>
      </c>
      <c r="DA44" s="262">
        <f t="shared" ref="DA44:DB44" si="60">DA$33*DA11</f>
        <v>2660528.4384694933</v>
      </c>
      <c r="DB44" s="262">
        <f t="shared" si="60"/>
        <v>2619300.9307135474</v>
      </c>
      <c r="DC44" s="262">
        <f t="shared" ref="DC44" si="61">DC$33*DC11</f>
        <v>3513667.0113753877</v>
      </c>
      <c r="DD44" s="271"/>
    </row>
    <row r="45" spans="1:110" x14ac:dyDescent="0.35">
      <c r="C45" s="63" t="s">
        <v>273</v>
      </c>
      <c r="D45" s="262">
        <f t="shared" si="45"/>
        <v>1601159.1145718016</v>
      </c>
      <c r="E45" s="262">
        <f t="shared" si="45"/>
        <v>998369.80085065286</v>
      </c>
      <c r="F45" s="262">
        <f t="shared" si="45"/>
        <v>579233.24619178148</v>
      </c>
      <c r="G45" s="262">
        <f t="shared" si="45"/>
        <v>1713696.2092949366</v>
      </c>
      <c r="H45" s="262">
        <f t="shared" si="45"/>
        <v>1823993.2652299399</v>
      </c>
      <c r="I45" s="262">
        <f t="shared" si="45"/>
        <v>1214666.8201717825</v>
      </c>
      <c r="J45" s="262">
        <f t="shared" si="45"/>
        <v>1577635.3879991793</v>
      </c>
      <c r="K45" s="262">
        <f t="shared" si="45"/>
        <v>1909840.3551384867</v>
      </c>
      <c r="L45" s="263">
        <f t="shared" si="45"/>
        <v>0</v>
      </c>
      <c r="M45" s="263">
        <f t="shared" si="45"/>
        <v>0</v>
      </c>
      <c r="N45" s="262">
        <f t="shared" si="45"/>
        <v>984855.96505517885</v>
      </c>
      <c r="O45" s="262">
        <f t="shared" si="45"/>
        <v>1654901.5177640168</v>
      </c>
      <c r="P45" s="262">
        <f t="shared" si="45"/>
        <v>2495076.2575692018</v>
      </c>
      <c r="Q45" s="262">
        <f t="shared" si="45"/>
        <v>1893798.4049635602</v>
      </c>
      <c r="R45" s="262">
        <f t="shared" si="45"/>
        <v>2466875.2771607065</v>
      </c>
      <c r="S45" s="262">
        <f t="shared" si="45"/>
        <v>1222826.0923978109</v>
      </c>
      <c r="T45" s="262">
        <f t="shared" ref="T45:CE47" si="62">T$33*T12</f>
        <v>2392031.8603147995</v>
      </c>
      <c r="U45" s="262">
        <f t="shared" si="62"/>
        <v>2208287.5912637245</v>
      </c>
      <c r="V45" s="262">
        <f t="shared" si="62"/>
        <v>2351885.0290138526</v>
      </c>
      <c r="W45" s="262">
        <f t="shared" si="62"/>
        <v>2414795.462834633</v>
      </c>
      <c r="X45" s="262">
        <f t="shared" si="62"/>
        <v>1191548.902860336</v>
      </c>
      <c r="Y45" s="262">
        <f t="shared" si="62"/>
        <v>2993129.1422250359</v>
      </c>
      <c r="Z45" s="262">
        <f t="shared" si="62"/>
        <v>1856865.0851312664</v>
      </c>
      <c r="AA45" s="262">
        <f t="shared" si="62"/>
        <v>3354088.4735708283</v>
      </c>
      <c r="AB45" s="262">
        <f t="shared" si="62"/>
        <v>857809.47642607766</v>
      </c>
      <c r="AC45" s="262">
        <f t="shared" si="62"/>
        <v>682379.84888392605</v>
      </c>
      <c r="AD45" s="262">
        <f t="shared" si="62"/>
        <v>807375.85810630326</v>
      </c>
      <c r="AE45" s="262">
        <f t="shared" si="62"/>
        <v>2530551.0325687048</v>
      </c>
      <c r="AF45" s="262">
        <f t="shared" si="62"/>
        <v>2659124.8322590091</v>
      </c>
      <c r="AG45" s="262">
        <f t="shared" si="62"/>
        <v>2562382.2483458123</v>
      </c>
      <c r="AH45" s="262">
        <f t="shared" si="62"/>
        <v>2420836.8490475807</v>
      </c>
      <c r="AI45" s="262">
        <f t="shared" si="62"/>
        <v>3023647.1711264453</v>
      </c>
      <c r="AJ45" s="262">
        <f t="shared" si="62"/>
        <v>872208.14368648105</v>
      </c>
      <c r="AK45" s="262">
        <f t="shared" si="62"/>
        <v>1261067.9626171398</v>
      </c>
      <c r="AL45" s="262">
        <f t="shared" si="62"/>
        <v>1963349.6013851012</v>
      </c>
      <c r="AM45" s="262">
        <f t="shared" si="62"/>
        <v>1812326.0161559442</v>
      </c>
      <c r="AN45" s="262">
        <f t="shared" si="62"/>
        <v>1625966.7609494813</v>
      </c>
      <c r="AO45" s="262">
        <f t="shared" si="62"/>
        <v>2839971.9511205279</v>
      </c>
      <c r="AP45" s="262">
        <f t="shared" si="62"/>
        <v>1407769.5113573691</v>
      </c>
      <c r="AQ45" s="262">
        <f t="shared" si="62"/>
        <v>2753809.0200083246</v>
      </c>
      <c r="AR45" s="262">
        <f t="shared" si="62"/>
        <v>1682939.8344108933</v>
      </c>
      <c r="AS45" s="262">
        <f t="shared" si="62"/>
        <v>1965137.5625212719</v>
      </c>
      <c r="AT45" s="262">
        <f t="shared" si="62"/>
        <v>619497.10045373219</v>
      </c>
      <c r="AU45" s="262">
        <f t="shared" si="62"/>
        <v>1978217.0189495187</v>
      </c>
      <c r="AV45" s="262">
        <f t="shared" si="62"/>
        <v>2145614.9877921478</v>
      </c>
      <c r="AW45" s="262">
        <f t="shared" si="62"/>
        <v>2418025.0846729828</v>
      </c>
      <c r="AX45" s="262">
        <f t="shared" si="62"/>
        <v>2278609.8396127061</v>
      </c>
      <c r="AY45" s="262">
        <f t="shared" si="62"/>
        <v>2226320.9758947953</v>
      </c>
      <c r="AZ45" s="262">
        <f t="shared" si="62"/>
        <v>2425823.1179946917</v>
      </c>
      <c r="BA45" s="262">
        <f t="shared" si="62"/>
        <v>1232691.6505561462</v>
      </c>
      <c r="BB45" s="262">
        <f t="shared" si="62"/>
        <v>1724433.3585752931</v>
      </c>
      <c r="BC45" s="262">
        <f t="shared" si="62"/>
        <v>2327360.1067448459</v>
      </c>
      <c r="BD45" s="262">
        <f t="shared" si="62"/>
        <v>2685209.0730908439</v>
      </c>
      <c r="BE45" s="262">
        <f t="shared" si="62"/>
        <v>2289839.6453921283</v>
      </c>
      <c r="BF45" s="262">
        <f t="shared" si="62"/>
        <v>750129.54300637171</v>
      </c>
      <c r="BG45" s="262">
        <f t="shared" si="62"/>
        <v>2713220.5880684303</v>
      </c>
      <c r="BH45" s="262">
        <f t="shared" si="62"/>
        <v>3170811.4113252801</v>
      </c>
      <c r="BI45" s="262">
        <f t="shared" si="62"/>
        <v>3227226.1781901075</v>
      </c>
      <c r="BJ45" s="262">
        <f t="shared" si="62"/>
        <v>3219047.2266607927</v>
      </c>
      <c r="BK45" s="262">
        <f t="shared" si="62"/>
        <v>2308423.6659488343</v>
      </c>
      <c r="BL45" s="262">
        <f t="shared" si="62"/>
        <v>7291318.7406284278</v>
      </c>
      <c r="BM45" s="262">
        <f t="shared" si="62"/>
        <v>7097571.777782904</v>
      </c>
      <c r="BN45" s="262">
        <f t="shared" si="62"/>
        <v>4894524.7394071985</v>
      </c>
      <c r="BO45" s="262">
        <f t="shared" si="62"/>
        <v>2412418.2917347266</v>
      </c>
      <c r="BP45" s="262">
        <f t="shared" si="62"/>
        <v>2531865.1030222657</v>
      </c>
      <c r="BQ45" s="262">
        <f t="shared" si="62"/>
        <v>2342468.852967219</v>
      </c>
      <c r="BR45" s="276"/>
      <c r="BS45" s="276"/>
      <c r="BT45" s="262">
        <f t="shared" si="62"/>
        <v>1674585.0427588688</v>
      </c>
      <c r="BU45" s="262">
        <f t="shared" si="62"/>
        <v>2763644.2197287353</v>
      </c>
      <c r="BV45" s="262">
        <f t="shared" si="62"/>
        <v>2414334.7144675218</v>
      </c>
      <c r="BW45" s="262">
        <f t="shared" si="62"/>
        <v>1139868.6635571374</v>
      </c>
      <c r="BX45" s="276"/>
      <c r="BY45" s="262">
        <f t="shared" si="62"/>
        <v>1954290.0301154808</v>
      </c>
      <c r="BZ45" s="262">
        <f t="shared" si="62"/>
        <v>674019.58537465695</v>
      </c>
      <c r="CA45" s="262">
        <f t="shared" si="62"/>
        <v>1946102.3962797082</v>
      </c>
      <c r="CB45" s="262">
        <f t="shared" si="62"/>
        <v>1423967.3327128524</v>
      </c>
      <c r="CC45" s="262">
        <f t="shared" si="62"/>
        <v>1709679.8961051998</v>
      </c>
      <c r="CD45" s="262">
        <f t="shared" si="62"/>
        <v>1606914.3002116485</v>
      </c>
      <c r="CE45" s="262">
        <f t="shared" si="62"/>
        <v>1946785.743459099</v>
      </c>
      <c r="CF45" s="276"/>
      <c r="CG45" s="262">
        <f t="shared" ref="CG45:CY47" si="63">CG$33*CG12</f>
        <v>2058474.2005993549</v>
      </c>
      <c r="CH45" s="262">
        <f t="shared" si="63"/>
        <v>2171292.8445466571</v>
      </c>
      <c r="CI45" s="262">
        <f t="shared" si="63"/>
        <v>4248805.7996738357</v>
      </c>
      <c r="CJ45" s="262">
        <f t="shared" si="63"/>
        <v>3191410.3436848265</v>
      </c>
      <c r="CK45" s="262">
        <f t="shared" si="63"/>
        <v>5646190.4261350483</v>
      </c>
      <c r="CL45" s="262">
        <f t="shared" si="63"/>
        <v>2958546.5808023359</v>
      </c>
      <c r="CM45" s="262">
        <f t="shared" si="63"/>
        <v>1508757.7722821718</v>
      </c>
      <c r="CN45" s="262">
        <f t="shared" si="63"/>
        <v>2019206.1860756788</v>
      </c>
      <c r="CO45" s="262">
        <f t="shared" si="63"/>
        <v>2732194.2919461681</v>
      </c>
      <c r="CP45" s="262">
        <f t="shared" si="63"/>
        <v>1044250.6199630264</v>
      </c>
      <c r="CQ45" s="262">
        <f t="shared" si="63"/>
        <v>444948.42744105507</v>
      </c>
      <c r="CR45" s="262"/>
      <c r="CS45" s="262">
        <f t="shared" si="63"/>
        <v>7797447.5188462976</v>
      </c>
      <c r="CT45" s="262">
        <f t="shared" si="63"/>
        <v>2881491.8074264564</v>
      </c>
      <c r="CU45" s="262">
        <f t="shared" si="63"/>
        <v>4174718.5891366717</v>
      </c>
      <c r="CV45" s="262">
        <f t="shared" si="63"/>
        <v>3544434.5511925435</v>
      </c>
      <c r="CW45" s="262">
        <f t="shared" si="42"/>
        <v>1065082.44</v>
      </c>
      <c r="CX45" s="262">
        <f t="shared" si="63"/>
        <v>1485113.8320000002</v>
      </c>
      <c r="CY45" s="262">
        <f t="shared" si="63"/>
        <v>2848368.6668490446</v>
      </c>
      <c r="CZ45" s="262">
        <f t="shared" ref="CZ45:DA45" si="64">CZ$33*CZ12</f>
        <v>2101645.0425823503</v>
      </c>
      <c r="DA45" s="262">
        <f t="shared" si="64"/>
        <v>3631832.4715615301</v>
      </c>
      <c r="DB45" s="262">
        <f t="shared" ref="DB45:DC45" si="65">DB$33*DB12</f>
        <v>3519685.625646329</v>
      </c>
      <c r="DC45" s="262">
        <f t="shared" si="65"/>
        <v>4796434.3329886245</v>
      </c>
      <c r="DD45" s="271"/>
    </row>
    <row r="46" spans="1:110" x14ac:dyDescent="0.35">
      <c r="C46" s="63" t="s">
        <v>274</v>
      </c>
      <c r="D46" s="262">
        <f t="shared" si="45"/>
        <v>1528826.8184766301</v>
      </c>
      <c r="E46" s="262">
        <f t="shared" si="45"/>
        <v>953268.48681484011</v>
      </c>
      <c r="F46" s="262">
        <f t="shared" si="45"/>
        <v>614083.90009192494</v>
      </c>
      <c r="G46" s="262">
        <f t="shared" si="45"/>
        <v>1822840.8299721216</v>
      </c>
      <c r="H46" s="262">
        <f t="shared" si="45"/>
        <v>2042361.0946962968</v>
      </c>
      <c r="I46" s="262">
        <f t="shared" si="45"/>
        <v>1360086.3028540697</v>
      </c>
      <c r="J46" s="262">
        <f t="shared" si="45"/>
        <v>1766509.3394187668</v>
      </c>
      <c r="K46" s="262">
        <f t="shared" si="45"/>
        <v>2138485.767886912</v>
      </c>
      <c r="L46" s="263">
        <f t="shared" si="45"/>
        <v>0</v>
      </c>
      <c r="M46" s="263">
        <f t="shared" si="45"/>
        <v>0</v>
      </c>
      <c r="N46" s="262">
        <f t="shared" si="45"/>
        <v>1264324.8124166208</v>
      </c>
      <c r="O46" s="262">
        <f t="shared" si="45"/>
        <v>1910204.0290932632</v>
      </c>
      <c r="P46" s="262">
        <f t="shared" si="45"/>
        <v>2926195.3032459649</v>
      </c>
      <c r="Q46" s="262">
        <f t="shared" si="45"/>
        <v>2010115.9404798816</v>
      </c>
      <c r="R46" s="262">
        <f t="shared" si="45"/>
        <v>2526438.8119499986</v>
      </c>
      <c r="S46" s="262">
        <f t="shared" si="45"/>
        <v>1252351.6404342817</v>
      </c>
      <c r="T46" s="262">
        <f t="shared" si="62"/>
        <v>2449788.275585596</v>
      </c>
      <c r="U46" s="262">
        <f t="shared" si="62"/>
        <v>2313114.335859051</v>
      </c>
      <c r="V46" s="262">
        <f t="shared" si="62"/>
        <v>2436785.7795282081</v>
      </c>
      <c r="W46" s="262">
        <f t="shared" si="62"/>
        <v>2501967.2185132196</v>
      </c>
      <c r="X46" s="262">
        <f t="shared" si="62"/>
        <v>1234562.6534813931</v>
      </c>
      <c r="Y46" s="262">
        <f t="shared" si="62"/>
        <v>3101178.1783923553</v>
      </c>
      <c r="Z46" s="262">
        <f t="shared" si="62"/>
        <v>1921368.4344412552</v>
      </c>
      <c r="AA46" s="262">
        <f t="shared" si="62"/>
        <v>3695726.2003871473</v>
      </c>
      <c r="AB46" s="262">
        <f t="shared" si="62"/>
        <v>945183.4624961901</v>
      </c>
      <c r="AC46" s="262">
        <f t="shared" si="62"/>
        <v>751885.0817467242</v>
      </c>
      <c r="AD46" s="262">
        <f t="shared" si="62"/>
        <v>889612.82204546803</v>
      </c>
      <c r="AE46" s="262">
        <f t="shared" si="62"/>
        <v>2579227.3741649482</v>
      </c>
      <c r="AF46" s="262">
        <f t="shared" si="62"/>
        <v>2710274.3514807988</v>
      </c>
      <c r="AG46" s="262">
        <f t="shared" si="62"/>
        <v>2619183.7950960202</v>
      </c>
      <c r="AH46" s="262">
        <f t="shared" si="62"/>
        <v>2474500.6915693483</v>
      </c>
      <c r="AI46" s="262">
        <f t="shared" si="62"/>
        <v>3032834.9827170055</v>
      </c>
      <c r="AJ46" s="262">
        <f t="shared" si="62"/>
        <v>1018847.3294762833</v>
      </c>
      <c r="AK46" s="262">
        <f t="shared" si="62"/>
        <v>1473484.788271988</v>
      </c>
      <c r="AL46" s="262">
        <f t="shared" si="62"/>
        <v>1979496.1807058142</v>
      </c>
      <c r="AM46" s="262">
        <f t="shared" si="62"/>
        <v>2045032.3079234182</v>
      </c>
      <c r="AN46" s="262">
        <f t="shared" si="62"/>
        <v>1834744.1509470472</v>
      </c>
      <c r="AO46" s="262">
        <f t="shared" si="62"/>
        <v>2939152.2002968676</v>
      </c>
      <c r="AP46" s="262">
        <f t="shared" si="62"/>
        <v>1456933.0007588007</v>
      </c>
      <c r="AQ46" s="262">
        <f t="shared" si="62"/>
        <v>2849980.203910586</v>
      </c>
      <c r="AR46" s="262">
        <f t="shared" si="62"/>
        <v>1690977.1487908815</v>
      </c>
      <c r="AS46" s="262">
        <f t="shared" si="62"/>
        <v>1986921.3191149912</v>
      </c>
      <c r="AT46" s="262">
        <f t="shared" si="62"/>
        <v>626364.29097727244</v>
      </c>
      <c r="AU46" s="262">
        <f t="shared" si="62"/>
        <v>2000145.7626935756</v>
      </c>
      <c r="AV46" s="262">
        <f t="shared" si="62"/>
        <v>2232686.2327261223</v>
      </c>
      <c r="AW46" s="262">
        <f t="shared" si="62"/>
        <v>2751105.6678458066</v>
      </c>
      <c r="AX46" s="262">
        <f t="shared" si="62"/>
        <v>2592486.1095539578</v>
      </c>
      <c r="AY46" s="262">
        <f t="shared" si="62"/>
        <v>2532994.5061577028</v>
      </c>
      <c r="AZ46" s="262">
        <f t="shared" si="62"/>
        <v>2978249.7561960393</v>
      </c>
      <c r="BA46" s="262">
        <f t="shared" si="62"/>
        <v>1513409.4404906936</v>
      </c>
      <c r="BB46" s="262">
        <f t="shared" si="62"/>
        <v>1813072.1627358173</v>
      </c>
      <c r="BC46" s="262">
        <f t="shared" si="62"/>
        <v>2409844.1384750684</v>
      </c>
      <c r="BD46" s="262">
        <f t="shared" si="62"/>
        <v>2944347.8541356227</v>
      </c>
      <c r="BE46" s="262">
        <f t="shared" si="62"/>
        <v>2530109.5884223143</v>
      </c>
      <c r="BF46" s="262">
        <f t="shared" si="62"/>
        <v>828839.67579933233</v>
      </c>
      <c r="BG46" s="262">
        <f t="shared" si="62"/>
        <v>2718047.7665509102</v>
      </c>
      <c r="BH46" s="262">
        <f t="shared" si="62"/>
        <v>3249698.0193643286</v>
      </c>
      <c r="BI46" s="262">
        <f t="shared" si="62"/>
        <v>3307516.3290527323</v>
      </c>
      <c r="BJ46" s="262">
        <f t="shared" si="62"/>
        <v>3298370.7401671568</v>
      </c>
      <c r="BK46" s="262">
        <f t="shared" si="62"/>
        <v>2365307.6638994487</v>
      </c>
      <c r="BL46" s="262">
        <f t="shared" si="62"/>
        <v>7469685.5429002326</v>
      </c>
      <c r="BM46" s="262">
        <f t="shared" si="62"/>
        <v>7284316.7828651601</v>
      </c>
      <c r="BN46" s="262">
        <f t="shared" si="62"/>
        <v>4962774.1786543131</v>
      </c>
      <c r="BO46" s="262">
        <f t="shared" si="62"/>
        <v>2575094.2812658115</v>
      </c>
      <c r="BP46" s="262">
        <f t="shared" si="62"/>
        <v>2561370.844577726</v>
      </c>
      <c r="BQ46" s="262">
        <f t="shared" si="62"/>
        <v>2369767.4165813951</v>
      </c>
      <c r="BR46" s="276"/>
      <c r="BS46" s="276"/>
      <c r="BT46" s="262">
        <f>BT$33*BT13</f>
        <v>1806957.3669354783</v>
      </c>
      <c r="BU46" s="262">
        <f t="shared" si="62"/>
        <v>2910301.4590953989</v>
      </c>
      <c r="BV46" s="262">
        <f t="shared" si="62"/>
        <v>2472651.165061878</v>
      </c>
      <c r="BW46" s="262">
        <f t="shared" si="62"/>
        <v>1167401.3392064809</v>
      </c>
      <c r="BX46" s="276"/>
      <c r="BY46" s="262">
        <f t="shared" si="62"/>
        <v>1995687.9360862295</v>
      </c>
      <c r="BZ46" s="262">
        <f t="shared" si="62"/>
        <v>849426.14087234507</v>
      </c>
      <c r="CA46" s="262">
        <f t="shared" si="62"/>
        <v>1952722.6500197444</v>
      </c>
      <c r="CB46" s="262">
        <f t="shared" si="62"/>
        <v>1488556.468364181</v>
      </c>
      <c r="CC46" s="262">
        <f t="shared" si="62"/>
        <v>1726522.7995499042</v>
      </c>
      <c r="CD46" s="262">
        <f t="shared" si="62"/>
        <v>1577234.2644973414</v>
      </c>
      <c r="CE46" s="262">
        <f t="shared" si="62"/>
        <v>1905253.6045067331</v>
      </c>
      <c r="CF46" s="276"/>
      <c r="CG46" s="262">
        <f t="shared" si="63"/>
        <v>2017472.7352037891</v>
      </c>
      <c r="CH46" s="262">
        <f t="shared" si="63"/>
        <v>2194761.0001436649</v>
      </c>
      <c r="CI46" s="262">
        <f t="shared" si="63"/>
        <v>4285859.289810515</v>
      </c>
      <c r="CJ46" s="262">
        <f t="shared" si="63"/>
        <v>3219558.1199500444</v>
      </c>
      <c r="CK46" s="262">
        <f t="shared" si="63"/>
        <v>5797066.4075424699</v>
      </c>
      <c r="CL46" s="262">
        <f t="shared" si="63"/>
        <v>3004884.8461093982</v>
      </c>
      <c r="CM46" s="262">
        <f t="shared" si="63"/>
        <v>1532388.7059270102</v>
      </c>
      <c r="CN46" s="262">
        <f t="shared" si="63"/>
        <v>2479034.9662264967</v>
      </c>
      <c r="CO46" s="262">
        <f t="shared" si="63"/>
        <v>3354390.0721811373</v>
      </c>
      <c r="CP46" s="262">
        <f t="shared" si="63"/>
        <v>747336.60280840681</v>
      </c>
      <c r="CQ46" s="262">
        <f t="shared" si="63"/>
        <v>271422.46444651665</v>
      </c>
      <c r="CR46" s="262"/>
      <c r="CS46" s="262">
        <f t="shared" si="63"/>
        <v>9789619.6077290699</v>
      </c>
      <c r="CT46" s="262">
        <f t="shared" si="63"/>
        <v>2830067.2611227003</v>
      </c>
      <c r="CU46" s="262">
        <f t="shared" si="63"/>
        <v>4255489.6511836639</v>
      </c>
      <c r="CV46" s="262">
        <f t="shared" si="63"/>
        <v>4049901.3068744815</v>
      </c>
      <c r="CW46" s="262">
        <f t="shared" si="63"/>
        <v>586980.24</v>
      </c>
      <c r="CX46" s="262">
        <f t="shared" si="63"/>
        <v>985136.14799999993</v>
      </c>
      <c r="CY46" s="262">
        <f t="shared" si="63"/>
        <v>3337231.3112656451</v>
      </c>
      <c r="CZ46" s="262">
        <f t="shared" ref="CZ46:DA46" si="66">CZ$33*CZ13</f>
        <v>2222381.7783132298</v>
      </c>
      <c r="DA46" s="262">
        <f t="shared" si="66"/>
        <v>4223061.0134436404</v>
      </c>
      <c r="DB46" s="262">
        <f t="shared" ref="DB46:DC46" si="67">DB$33*DB13</f>
        <v>4051731.1271975185</v>
      </c>
      <c r="DC46" s="262">
        <f t="shared" si="67"/>
        <v>5577249.2244053781</v>
      </c>
      <c r="DD46" s="262">
        <f t="shared" ref="DD46" si="68">DD$33*DD13</f>
        <v>5066168.5625646329</v>
      </c>
    </row>
    <row r="47" spans="1:110" x14ac:dyDescent="0.35">
      <c r="C47" s="63" t="s">
        <v>275</v>
      </c>
      <c r="D47" s="262">
        <f t="shared" si="45"/>
        <v>1615825.7631033366</v>
      </c>
      <c r="E47" s="262">
        <f t="shared" si="45"/>
        <v>1007514.8875820806</v>
      </c>
      <c r="F47" s="262">
        <f t="shared" si="45"/>
        <v>749515.48206050915</v>
      </c>
      <c r="G47" s="262">
        <f t="shared" si="45"/>
        <v>2211662.7319599288</v>
      </c>
      <c r="H47" s="262">
        <f t="shared" si="45"/>
        <v>2263211.2819183869</v>
      </c>
      <c r="I47" s="262">
        <f t="shared" si="45"/>
        <v>1507158.8824304978</v>
      </c>
      <c r="J47" s="262">
        <f t="shared" si="45"/>
        <v>1957530.3686350617</v>
      </c>
      <c r="K47" s="262">
        <f t="shared" si="45"/>
        <v>2369730.3717114036</v>
      </c>
      <c r="L47" s="263">
        <f t="shared" si="45"/>
        <v>0</v>
      </c>
      <c r="M47" s="263">
        <f t="shared" si="45"/>
        <v>0</v>
      </c>
      <c r="N47" s="262">
        <f t="shared" si="45"/>
        <v>1355489.7589159219</v>
      </c>
      <c r="O47" s="262">
        <f t="shared" si="45"/>
        <v>2215295.5499397316</v>
      </c>
      <c r="P47" s="262">
        <f t="shared" si="45"/>
        <v>3035962.6311977156</v>
      </c>
      <c r="Q47" s="262">
        <f t="shared" si="45"/>
        <v>2416138.8329277909</v>
      </c>
      <c r="R47" s="262">
        <f t="shared" si="45"/>
        <v>3048425.7527206037</v>
      </c>
      <c r="S47" s="262">
        <f t="shared" si="45"/>
        <v>1511099.724285472</v>
      </c>
      <c r="T47" s="262">
        <f t="shared" si="62"/>
        <v>2955938.4667005073</v>
      </c>
      <c r="U47" s="262">
        <f t="shared" si="62"/>
        <v>2894694.9073343421</v>
      </c>
      <c r="V47" s="262">
        <f t="shared" si="62"/>
        <v>2886185.1975725042</v>
      </c>
      <c r="W47" s="262">
        <f t="shared" si="62"/>
        <v>2963387.595064925</v>
      </c>
      <c r="X47" s="262">
        <f t="shared" si="62"/>
        <v>1462244.4393301182</v>
      </c>
      <c r="Y47" s="262">
        <f t="shared" si="62"/>
        <v>3673106.8560502762</v>
      </c>
      <c r="Z47" s="262">
        <f t="shared" si="62"/>
        <v>2317375.7408589483</v>
      </c>
      <c r="AA47" s="262">
        <f t="shared" si="62"/>
        <v>4591318.8272373369</v>
      </c>
      <c r="AB47" s="262">
        <f t="shared" si="62"/>
        <v>1174231.6370995049</v>
      </c>
      <c r="AC47" s="262">
        <f t="shared" si="62"/>
        <v>934090.87810157263</v>
      </c>
      <c r="AD47" s="262">
        <f t="shared" si="62"/>
        <v>1105194.4536316632</v>
      </c>
      <c r="AE47" s="262">
        <f t="shared" si="62"/>
        <v>3124556.4884503437</v>
      </c>
      <c r="AF47" s="262">
        <f t="shared" si="62"/>
        <v>3283310.8841912835</v>
      </c>
      <c r="AG47" s="262">
        <f t="shared" si="62"/>
        <v>3149544.3638357655</v>
      </c>
      <c r="AH47" s="262">
        <f t="shared" si="62"/>
        <v>2975564.2658724645</v>
      </c>
      <c r="AI47" s="262">
        <f t="shared" si="62"/>
        <v>3221796.6892906376</v>
      </c>
      <c r="AJ47" s="262">
        <f t="shared" si="62"/>
        <v>1211590.3643557157</v>
      </c>
      <c r="AK47" s="262">
        <f t="shared" si="62"/>
        <v>1753829.3173921665</v>
      </c>
      <c r="AL47" s="262">
        <f t="shared" si="62"/>
        <v>2501207.0678124167</v>
      </c>
      <c r="AM47" s="262">
        <f t="shared" si="62"/>
        <v>2490396.4312865315</v>
      </c>
      <c r="AN47" s="262">
        <f t="shared" si="62"/>
        <v>2234312.0292716036</v>
      </c>
      <c r="AO47" s="262">
        <f t="shared" si="62"/>
        <v>3593193.653396145</v>
      </c>
      <c r="AP47" s="262">
        <f t="shared" si="62"/>
        <v>1781140.2931842594</v>
      </c>
      <c r="AQ47" s="262">
        <f t="shared" si="62"/>
        <v>3484178.4579790831</v>
      </c>
      <c r="AR47" s="262">
        <f t="shared" si="62"/>
        <v>1666839.0295759721</v>
      </c>
      <c r="AS47" s="262">
        <f t="shared" si="62"/>
        <v>2497688.8678675704</v>
      </c>
      <c r="AT47" s="262">
        <f t="shared" si="62"/>
        <v>787380.50759882922</v>
      </c>
      <c r="AU47" s="262">
        <f t="shared" si="62"/>
        <v>2514312.8505045301</v>
      </c>
      <c r="AV47" s="262">
        <f t="shared" si="62"/>
        <v>2804483.852904717</v>
      </c>
      <c r="AW47" s="262">
        <f t="shared" si="62"/>
        <v>3357419.1834497382</v>
      </c>
      <c r="AX47" s="262">
        <f t="shared" si="62"/>
        <v>3163841.6142186802</v>
      </c>
      <c r="AY47" s="262">
        <f t="shared" si="62"/>
        <v>3091238.7139261696</v>
      </c>
      <c r="AZ47" s="262">
        <f t="shared" si="62"/>
        <v>3136195.1507767467</v>
      </c>
      <c r="BA47" s="262">
        <f t="shared" si="62"/>
        <v>1593670.0199612945</v>
      </c>
      <c r="BB47" s="262">
        <f t="shared" si="62"/>
        <v>2250289.713265419</v>
      </c>
      <c r="BC47" s="262">
        <f t="shared" si="62"/>
        <v>2949386.0883404701</v>
      </c>
      <c r="BD47" s="262">
        <f t="shared" si="62"/>
        <v>3617063.3195426897</v>
      </c>
      <c r="BE47" s="262">
        <f t="shared" si="62"/>
        <v>3032263.9274908211</v>
      </c>
      <c r="BF47" s="262">
        <f t="shared" si="62"/>
        <v>993340.62923601712</v>
      </c>
      <c r="BG47" s="262">
        <f t="shared" si="62"/>
        <v>3142329.8254480627</v>
      </c>
      <c r="BH47" s="262">
        <f t="shared" si="62"/>
        <v>3786765.3315655873</v>
      </c>
      <c r="BI47" s="262">
        <f t="shared" si="62"/>
        <v>3854139.0904050618</v>
      </c>
      <c r="BJ47" s="262">
        <f t="shared" si="62"/>
        <v>3849219.4067778024</v>
      </c>
      <c r="BK47" s="262">
        <f t="shared" si="62"/>
        <v>2760328.9260383802</v>
      </c>
      <c r="BL47" s="262">
        <f t="shared" si="62"/>
        <v>8617655.6871106755</v>
      </c>
      <c r="BM47" s="262">
        <f t="shared" si="62"/>
        <v>8555512.4861447196</v>
      </c>
      <c r="BN47" s="262">
        <f t="shared" si="62"/>
        <v>5830442.7787849996</v>
      </c>
      <c r="BO47" s="262">
        <f t="shared" si="62"/>
        <v>2994684.9656900591</v>
      </c>
      <c r="BP47" s="262">
        <f t="shared" si="62"/>
        <v>3180927.4643664812</v>
      </c>
      <c r="BQ47" s="262">
        <f t="shared" si="62"/>
        <v>2942978.083600115</v>
      </c>
      <c r="BR47" s="276"/>
      <c r="BS47" s="276"/>
      <c r="BT47" s="262">
        <f>BT$33*BT14</f>
        <v>2065671.1096432358</v>
      </c>
      <c r="BU47" s="262">
        <f t="shared" si="62"/>
        <v>3389056.9256035555</v>
      </c>
      <c r="BV47" s="262">
        <f t="shared" si="62"/>
        <v>2901596.2296920982</v>
      </c>
      <c r="BW47" s="262">
        <f t="shared" si="62"/>
        <v>1369917.1853439601</v>
      </c>
      <c r="BX47" s="276"/>
      <c r="BY47" s="262">
        <f t="shared" si="62"/>
        <v>2388131.7955534454</v>
      </c>
      <c r="BZ47" s="262">
        <f t="shared" si="62"/>
        <v>855813.45357075322</v>
      </c>
      <c r="CA47" s="262">
        <f t="shared" si="62"/>
        <v>2400088.2439227202</v>
      </c>
      <c r="CB47" s="262">
        <f t="shared" si="62"/>
        <v>1846176.0564781921</v>
      </c>
      <c r="CC47" s="262">
        <f t="shared" si="62"/>
        <v>2096030.9881834493</v>
      </c>
      <c r="CD47" s="262">
        <f t="shared" si="62"/>
        <v>2002404.5244554577</v>
      </c>
      <c r="CE47" s="262">
        <f t="shared" si="62"/>
        <v>2350481.0864777369</v>
      </c>
      <c r="CF47" s="276"/>
      <c r="CG47" s="262">
        <f t="shared" si="63"/>
        <v>2521635.4304717742</v>
      </c>
      <c r="CH47" s="262">
        <f t="shared" si="63"/>
        <v>2601172.548729653</v>
      </c>
      <c r="CI47" s="262">
        <f t="shared" si="63"/>
        <v>4993317.8680788558</v>
      </c>
      <c r="CJ47" s="262">
        <f t="shared" si="63"/>
        <v>3669212.9459937117</v>
      </c>
      <c r="CK47" s="262">
        <f t="shared" si="63"/>
        <v>6723697.9530538982</v>
      </c>
      <c r="CL47" s="262">
        <f t="shared" si="63"/>
        <v>3496236.7644320652</v>
      </c>
      <c r="CM47" s="262">
        <f t="shared" si="63"/>
        <v>1782961.4129803618</v>
      </c>
      <c r="CN47" s="262">
        <f t="shared" si="63"/>
        <v>2610505.523759631</v>
      </c>
      <c r="CO47" s="262">
        <f t="shared" si="63"/>
        <v>3532283.3003853951</v>
      </c>
      <c r="CP47" s="262">
        <f t="shared" si="63"/>
        <v>725757.12353056867</v>
      </c>
      <c r="CQ47" s="262">
        <f t="shared" si="63"/>
        <v>236795.74599706943</v>
      </c>
      <c r="CR47" s="262"/>
      <c r="CS47" s="262">
        <f t="shared" si="63"/>
        <v>10469328.756255496</v>
      </c>
      <c r="CT47" s="262">
        <f t="shared" si="63"/>
        <v>3288017.3459559386</v>
      </c>
      <c r="CU47" s="262">
        <f t="shared" si="63"/>
        <v>5012247.9859424839</v>
      </c>
      <c r="CV47" s="262">
        <f t="shared" si="63"/>
        <v>4658324.1813866114</v>
      </c>
      <c r="CW47" s="262">
        <f t="shared" si="63"/>
        <v>461861.63999999996</v>
      </c>
      <c r="CX47" s="262">
        <f t="shared" si="63"/>
        <v>843783.58799999999</v>
      </c>
      <c r="CY47" s="262">
        <f t="shared" si="63"/>
        <v>3616852.5121479984</v>
      </c>
      <c r="CZ47" s="262">
        <f t="shared" ref="CZ47:DA47" si="69">CZ$33*CZ14</f>
        <v>2506657.5199235156</v>
      </c>
      <c r="DA47" s="262">
        <f t="shared" si="69"/>
        <v>5067673.216132368</v>
      </c>
      <c r="DB47" s="262">
        <f t="shared" ref="DB47:DC47" si="70">DB$33*DB14</f>
        <v>4870262.6680455012</v>
      </c>
      <c r="DC47" s="262">
        <f t="shared" si="70"/>
        <v>6692699.0692864526</v>
      </c>
      <c r="DD47" s="262">
        <f t="shared" ref="DD47" si="71">DD$33*DD14</f>
        <v>6079402.2750775591</v>
      </c>
    </row>
    <row r="48" spans="1:110" x14ac:dyDescent="0.35">
      <c r="C48" s="264" t="s">
        <v>395</v>
      </c>
      <c r="D48" s="265">
        <f>SUM(D36:D47)-D33</f>
        <v>0</v>
      </c>
      <c r="E48" s="265">
        <f t="shared" ref="E48:BP48" si="72">SUM(E36:E47)-E33</f>
        <v>0</v>
      </c>
      <c r="F48" s="265">
        <f t="shared" si="72"/>
        <v>0</v>
      </c>
      <c r="G48" s="265">
        <f t="shared" si="72"/>
        <v>0</v>
      </c>
      <c r="H48" s="265">
        <f t="shared" si="72"/>
        <v>0</v>
      </c>
      <c r="I48" s="265">
        <f t="shared" si="72"/>
        <v>0</v>
      </c>
      <c r="J48" s="265">
        <f t="shared" si="72"/>
        <v>0</v>
      </c>
      <c r="K48" s="265">
        <f t="shared" si="72"/>
        <v>0</v>
      </c>
      <c r="L48" s="265">
        <f t="shared" si="72"/>
        <v>0</v>
      </c>
      <c r="M48" s="265">
        <f t="shared" si="72"/>
        <v>0</v>
      </c>
      <c r="N48" s="265">
        <f t="shared" si="72"/>
        <v>0</v>
      </c>
      <c r="O48" s="265">
        <f t="shared" si="72"/>
        <v>0</v>
      </c>
      <c r="P48" s="265">
        <f t="shared" si="72"/>
        <v>0</v>
      </c>
      <c r="Q48" s="265">
        <f t="shared" si="72"/>
        <v>0</v>
      </c>
      <c r="R48" s="265">
        <f t="shared" si="72"/>
        <v>0</v>
      </c>
      <c r="S48" s="265">
        <f t="shared" si="72"/>
        <v>0</v>
      </c>
      <c r="T48" s="265">
        <f t="shared" si="72"/>
        <v>0</v>
      </c>
      <c r="U48" s="265">
        <f t="shared" si="72"/>
        <v>0</v>
      </c>
      <c r="V48" s="265">
        <f t="shared" si="72"/>
        <v>0</v>
      </c>
      <c r="W48" s="265">
        <f t="shared" si="72"/>
        <v>0</v>
      </c>
      <c r="X48" s="265">
        <f t="shared" si="72"/>
        <v>0</v>
      </c>
      <c r="Y48" s="265">
        <f t="shared" si="72"/>
        <v>0</v>
      </c>
      <c r="Z48" s="265">
        <f t="shared" si="72"/>
        <v>0</v>
      </c>
      <c r="AA48" s="265">
        <f t="shared" si="72"/>
        <v>0</v>
      </c>
      <c r="AB48" s="265">
        <f t="shared" si="72"/>
        <v>0</v>
      </c>
      <c r="AC48" s="265">
        <f t="shared" si="72"/>
        <v>0</v>
      </c>
      <c r="AD48" s="265">
        <f t="shared" si="72"/>
        <v>0</v>
      </c>
      <c r="AE48" s="265">
        <f t="shared" si="72"/>
        <v>0</v>
      </c>
      <c r="AF48" s="265">
        <f t="shared" si="72"/>
        <v>0</v>
      </c>
      <c r="AG48" s="265">
        <f t="shared" si="72"/>
        <v>0</v>
      </c>
      <c r="AH48" s="265">
        <f t="shared" si="72"/>
        <v>0</v>
      </c>
      <c r="AI48" s="265">
        <f t="shared" si="72"/>
        <v>0</v>
      </c>
      <c r="AJ48" s="265">
        <f t="shared" si="72"/>
        <v>0</v>
      </c>
      <c r="AK48" s="265">
        <f t="shared" si="72"/>
        <v>0</v>
      </c>
      <c r="AL48" s="265">
        <f t="shared" si="72"/>
        <v>0</v>
      </c>
      <c r="AM48" s="265">
        <f t="shared" si="72"/>
        <v>0</v>
      </c>
      <c r="AN48" s="265">
        <f t="shared" si="72"/>
        <v>0</v>
      </c>
      <c r="AO48" s="265">
        <f t="shared" si="72"/>
        <v>0</v>
      </c>
      <c r="AP48" s="265">
        <f t="shared" si="72"/>
        <v>0</v>
      </c>
      <c r="AQ48" s="265">
        <f t="shared" si="72"/>
        <v>0</v>
      </c>
      <c r="AR48" s="265">
        <f t="shared" si="72"/>
        <v>0</v>
      </c>
      <c r="AS48" s="265">
        <f t="shared" si="72"/>
        <v>0</v>
      </c>
      <c r="AT48" s="265">
        <f t="shared" si="72"/>
        <v>0</v>
      </c>
      <c r="AU48" s="265">
        <f t="shared" si="72"/>
        <v>0</v>
      </c>
      <c r="AV48" s="265">
        <f t="shared" si="72"/>
        <v>0</v>
      </c>
      <c r="AW48" s="265">
        <f t="shared" si="72"/>
        <v>0</v>
      </c>
      <c r="AX48" s="265">
        <f t="shared" si="72"/>
        <v>0</v>
      </c>
      <c r="AY48" s="265">
        <f t="shared" si="72"/>
        <v>0</v>
      </c>
      <c r="AZ48" s="265">
        <f t="shared" si="72"/>
        <v>0</v>
      </c>
      <c r="BA48" s="265">
        <f t="shared" si="72"/>
        <v>0</v>
      </c>
      <c r="BB48" s="265">
        <f t="shared" si="72"/>
        <v>0</v>
      </c>
      <c r="BC48" s="265">
        <f t="shared" si="72"/>
        <v>0</v>
      </c>
      <c r="BD48" s="265">
        <f t="shared" si="72"/>
        <v>0</v>
      </c>
      <c r="BE48" s="265">
        <f t="shared" si="72"/>
        <v>0</v>
      </c>
      <c r="BF48" s="265">
        <f t="shared" si="72"/>
        <v>0</v>
      </c>
      <c r="BG48" s="265">
        <f t="shared" si="72"/>
        <v>0</v>
      </c>
      <c r="BH48" s="265">
        <f t="shared" si="72"/>
        <v>0</v>
      </c>
      <c r="BI48" s="265">
        <f t="shared" si="72"/>
        <v>0</v>
      </c>
      <c r="BJ48" s="265">
        <f t="shared" si="72"/>
        <v>0</v>
      </c>
      <c r="BK48" s="265">
        <f t="shared" si="72"/>
        <v>0</v>
      </c>
      <c r="BL48" s="265">
        <f t="shared" si="72"/>
        <v>0</v>
      </c>
      <c r="BM48" s="265">
        <f t="shared" si="72"/>
        <v>0</v>
      </c>
      <c r="BN48" s="265">
        <f t="shared" si="72"/>
        <v>0</v>
      </c>
      <c r="BO48" s="265">
        <f t="shared" si="72"/>
        <v>0</v>
      </c>
      <c r="BP48" s="265">
        <f t="shared" si="72"/>
        <v>0</v>
      </c>
      <c r="BQ48" s="265">
        <f t="shared" ref="BQ48:CU48" si="73">SUM(BQ36:BQ47)-BQ33</f>
        <v>0</v>
      </c>
      <c r="BR48" s="279">
        <f>SUM(BR36:BR47)-BR34</f>
        <v>0</v>
      </c>
      <c r="BS48" s="279">
        <f>SUM(BS36:BS47)-BS34</f>
        <v>0</v>
      </c>
      <c r="BT48" s="265">
        <f t="shared" si="73"/>
        <v>0</v>
      </c>
      <c r="BU48" s="265">
        <f t="shared" si="73"/>
        <v>0</v>
      </c>
      <c r="BV48" s="265">
        <f t="shared" si="73"/>
        <v>0</v>
      </c>
      <c r="BW48" s="265">
        <f t="shared" si="73"/>
        <v>0</v>
      </c>
      <c r="BX48" s="279">
        <f>SUM(BX36:BX47)-BX34</f>
        <v>0</v>
      </c>
      <c r="BY48" s="265">
        <f t="shared" si="73"/>
        <v>0</v>
      </c>
      <c r="BZ48" s="265">
        <f t="shared" si="73"/>
        <v>0</v>
      </c>
      <c r="CA48" s="265">
        <f t="shared" si="73"/>
        <v>0</v>
      </c>
      <c r="CB48" s="265">
        <f t="shared" si="73"/>
        <v>0</v>
      </c>
      <c r="CC48" s="265">
        <f t="shared" si="73"/>
        <v>0</v>
      </c>
      <c r="CD48" s="265">
        <f t="shared" si="73"/>
        <v>0</v>
      </c>
      <c r="CE48" s="265">
        <f t="shared" si="73"/>
        <v>0</v>
      </c>
      <c r="CF48" s="279">
        <f>SUM(CF36:CF47)-CF34</f>
        <v>0</v>
      </c>
      <c r="CG48" s="265">
        <f t="shared" si="73"/>
        <v>0</v>
      </c>
      <c r="CH48" s="265">
        <f t="shared" si="73"/>
        <v>0</v>
      </c>
      <c r="CI48" s="265">
        <f t="shared" si="73"/>
        <v>0</v>
      </c>
      <c r="CJ48" s="265">
        <f t="shared" si="73"/>
        <v>0</v>
      </c>
      <c r="CK48" s="265">
        <f t="shared" si="73"/>
        <v>0</v>
      </c>
      <c r="CL48" s="265">
        <f t="shared" si="73"/>
        <v>0</v>
      </c>
      <c r="CM48" s="265">
        <f t="shared" si="73"/>
        <v>0</v>
      </c>
      <c r="CN48" s="265">
        <f t="shared" si="73"/>
        <v>0</v>
      </c>
      <c r="CO48" s="265">
        <f t="shared" si="73"/>
        <v>0</v>
      </c>
      <c r="CP48" s="265">
        <f t="shared" si="73"/>
        <v>0</v>
      </c>
      <c r="CQ48" s="265">
        <f t="shared" si="73"/>
        <v>0</v>
      </c>
      <c r="CR48" s="265">
        <f t="shared" si="73"/>
        <v>0</v>
      </c>
      <c r="CS48" s="265">
        <f t="shared" si="73"/>
        <v>0</v>
      </c>
      <c r="CT48" s="265">
        <f t="shared" si="73"/>
        <v>0</v>
      </c>
      <c r="CU48" s="265">
        <f t="shared" si="73"/>
        <v>0</v>
      </c>
      <c r="CV48" s="265">
        <f>SUM(CV36:CV47)-CV33</f>
        <v>0</v>
      </c>
      <c r="CW48" s="265">
        <f>SUM(CW36:CW47)-CW33</f>
        <v>0</v>
      </c>
      <c r="CX48" s="265">
        <f>SUM(CX36:CX47)-CX33</f>
        <v>0</v>
      </c>
      <c r="CY48" s="265">
        <f>SUM(CY36:CY47)-CY33</f>
        <v>0</v>
      </c>
      <c r="CZ48" s="265">
        <f>SUM(CZ36:CZ47)-CZ33</f>
        <v>0</v>
      </c>
      <c r="DA48" s="279">
        <f>SUM(DA36:DA47)-DA34</f>
        <v>0</v>
      </c>
      <c r="DB48" s="279">
        <f>SUM(DB36:DB47)-DB34</f>
        <v>0</v>
      </c>
      <c r="DC48" s="279">
        <f>SUM(DC36:DC47)-DC34</f>
        <v>0</v>
      </c>
      <c r="DD48" s="279">
        <f>SUM(DD36:DD47)-DD34</f>
        <v>0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E x c e l W o r k b o o k   x m l n s : i = " h t t p : / / w w w . w 3 . o r g / 2 0 0 1 / X M L S c h e m a - i n s t a n c e "   x m l n s = " h t t p : / / s c h e m a s . d a t a c o n t r a c t . o r g / 2 0 0 4 / 0 7 / L o n g v i e w . O f f i c e . E x c e l . M o d e l " > < V e r s i o n > 1 0 . 7   ( B u i l d   4 6 6 9 . 1 )   < / V e r s i o n > < W o r k s h e e t s > < E x c e l W o r k s h e e t > < S u b m i t S t a t u s R e s u l t > P r � t   �   s o u m e t t r e < / S u b m i t S t a t u s R e s u l t > < l o c k s   x m l n s : d 4 p 1 = " h t t p : / / s c h e m a s . m i c r o s o f t . c o m / 2 0 0 3 / 1 0 / S e r i a l i z a t i o n / A r r a y s " / > < n a m e > B u d g e t   2 0 2 1 < / n a m e > < q u e r i e s   x m l n s : d 4 p 1 = " h t t p : / / s c h e m a s . d a t a c o n t r a c t . o r g / 2 0 0 4 / 0 7 / L o n g v i e w . O f f i c e . A d d I n . Q u e r y " / > < / E x c e l W o r k s h e e t > < E x c e l W o r k s h e e t > < S u b m i t S t a t u s R e s u l t > P r � t   �   s o u m e t t r e < / S u b m i t S t a t u s R e s u l t > < l o c k s   x m l n s : d 4 p 1 = " h t t p : / / s c h e m a s . m i c r o s o f t . c o m / 2 0 0 3 / 1 0 / S e r i a l i z a t i o n / A r r a y s " / > < n a m e > B P 2 0 2 1   -   D i s t r i b u t i o n   m e n s u e l l e < / n a m e > < q u e r i e s   x m l n s : d 4 p 1 = " h t t p : / / s c h e m a s . d a t a c o n t r a c t . o r g / 2 0 0 4 / 0 7 / L o n g v i e w . O f f i c e . A d d I n . Q u e r y " / > < / E x c e l W o r k s h e e t > < E x c e l W o r k s h e e t > < S u b m i t S t a t u s R e s u l t > P r � t   �   s o u m e t t r e < / S u b m i t S t a t u s R e s u l t > < l o c k s   x m l n s : d 4 p 1 = " h t t p : / / s c h e m a s . m i c r o s o f t . c o m / 2 0 0 3 / 1 0 / S e r i a l i z a t i o n / A r r a y s " / > < n a m e > B P 2 0 2 2   -   D i s t r i b u t i o n   m e n s u e l l e < / n a m e > < q u e r i e s   x m l n s : d 4 p 1 = " h t t p : / / s c h e m a s . d a t a c o n t r a c t . o r g / 2 0 0 4 / 0 7 / L o n g v i e w . O f f i c e . A d d I n . Q u e r y " / > < / E x c e l W o r k s h e e t > < E x c e l W o r k s h e e t > < S u b m i t S t a t u s R e s u l t > P r � t   �   s o u m e t t r e < / S u b m i t S t a t u s R e s u l t > < l o c k s   x m l n s : d 4 p 1 = " h t t p : / / s c h e m a s . m i c r o s o f t . c o m / 2 0 0 3 / 1 0 / S e r i a l i z a t i o n / A r r a y s " / > < n a m e > B u d g e t   2 0 2 2 < / n a m e > < q u e r i e s   x m l n s : d 4 p 1 = " h t t p : / / s c h e m a s . d a t a c o n t r a c t . o r g / 2 0 0 4 / 0 7 / L o n g v i e w . O f f i c e . A d d I n . Q u e r y " / > < / E x c e l W o r k s h e e t > < / W o r k s h e e t s > < d a t a Q u e r i e s   x m l n s : d 2 p 1 = " h t t p : / / s c h e m a s . d a t a c o n t r a c t . o r g / 2 0 0 4 / 0 7 / L o n g v i e w . O f f i c e . A d d I n . M o d e l s " / > < / E x c e l W o r k b o o k > 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F86972ECB5F894380F3FC32D5ADAF3E" ma:contentTypeVersion="11" ma:contentTypeDescription="Crée un document." ma:contentTypeScope="" ma:versionID="87f3f9d5faa2738273690b113041fe42">
  <xsd:schema xmlns:xsd="http://www.w3.org/2001/XMLSchema" xmlns:xs="http://www.w3.org/2001/XMLSchema" xmlns:p="http://schemas.microsoft.com/office/2006/metadata/properties" xmlns:ns2="22543d3a-0b72-41c5-8503-c549f45285a6" xmlns:ns3="a513f063-4835-489a-9894-94176be57242" targetNamespace="http://schemas.microsoft.com/office/2006/metadata/properties" ma:root="true" ma:fieldsID="4294d5ec3a8ba1a2fab564d95dd8e0c3" ns2:_="" ns3:_="">
    <xsd:import namespace="22543d3a-0b72-41c5-8503-c549f45285a6"/>
    <xsd:import namespace="a513f063-4835-489a-9894-94176be5724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2543d3a-0b72-41c5-8503-c549f45285a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513f063-4835-489a-9894-94176be57242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6788585-1E55-4B89-87FE-CB78C8C1FF4A}">
  <ds:schemaRefs>
    <ds:schemaRef ds:uri="http://schemas.datacontract.org/2004/07/Longview.Office.Excel.Model"/>
    <ds:schemaRef ds:uri="http://schemas.microsoft.com/2003/10/Serialization/Arrays"/>
    <ds:schemaRef ds:uri="http://schemas.datacontract.org/2004/07/Longview.Office.AddIn.Query"/>
    <ds:schemaRef ds:uri="http://schemas.datacontract.org/2004/07/Longview.Office.AddIn.Models"/>
  </ds:schemaRefs>
</ds:datastoreItem>
</file>

<file path=customXml/itemProps2.xml><?xml version="1.0" encoding="utf-8"?>
<ds:datastoreItem xmlns:ds="http://schemas.openxmlformats.org/officeDocument/2006/customXml" ds:itemID="{2D0F8C53-8D57-4960-984F-17B15379471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D27AC00-1C7B-4E31-BDC6-6C7926F391F9}">
  <ds:schemaRefs>
    <ds:schemaRef ds:uri="http://schemas.microsoft.com/office/2006/documentManagement/types"/>
    <ds:schemaRef ds:uri="http://purl.org/dc/terms/"/>
    <ds:schemaRef ds:uri="http://schemas.openxmlformats.org/package/2006/metadata/core-properties"/>
    <ds:schemaRef ds:uri="f9b12cdb-baee-4f9b-8b6b-42c298812a24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93b0bc37-eec2-458b-869f-4fae3053b89f"/>
    <ds:schemaRef ds:uri="http://www.w3.org/XML/1998/namespace"/>
  </ds:schemaRefs>
</ds:datastoreItem>
</file>

<file path=customXml/itemProps4.xml><?xml version="1.0" encoding="utf-8"?>
<ds:datastoreItem xmlns:ds="http://schemas.openxmlformats.org/officeDocument/2006/customXml" ds:itemID="{ACC4B5AD-5768-4BA2-A074-21CF5926BFE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2543d3a-0b72-41c5-8503-c549f45285a6"/>
    <ds:schemaRef ds:uri="a513f063-4835-489a-9894-94176be5724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Budget 2021</vt:lpstr>
      <vt:lpstr>BP2021 - Distribution mensuelle</vt:lpstr>
      <vt:lpstr>Budget 2022</vt:lpstr>
      <vt:lpstr>BP2022 - Distribution mensuelle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Ernani Schnorenberger</dc:creator>
  <cp:keywords/>
  <dc:description/>
  <cp:lastModifiedBy>Youcef Khelif</cp:lastModifiedBy>
  <cp:revision/>
  <dcterms:created xsi:type="dcterms:W3CDTF">2020-07-09T15:56:42Z</dcterms:created>
  <dcterms:modified xsi:type="dcterms:W3CDTF">2022-09-01T16:01:31Z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0x0101000F86972ECB5F894380F3FC32D5ADAF3E</vt:lpwstr>
  </property>
  <property fmtid="{D5CDD505-2E9C-101B-9397-08002B2CF9AE}" pid="3" name="Longview.Workbook">
    <vt:lpwstr>{C6788585-1E55-4B89-87FE-CB78C8C1FF4A}</vt:lpwstr>
  </property>
</Properties>
</file>