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ty/Documents/Other/Investments/DCFs/NVIDIA/"/>
    </mc:Choice>
  </mc:AlternateContent>
  <xr:revisionPtr revIDLastSave="0" documentId="13_ncr:1_{90D5B458-ADB5-664D-9A36-EF4DF00065E1}" xr6:coauthVersionLast="47" xr6:coauthVersionMax="47" xr10:uidLastSave="{00000000-0000-0000-0000-000000000000}"/>
  <bookViews>
    <workbookView xWindow="0" yWindow="500" windowWidth="25600" windowHeight="14260" xr2:uid="{190DADE8-2A2E-9146-9CD8-D04004A818A3}"/>
  </bookViews>
  <sheets>
    <sheet name="DCF" sheetId="1" r:id="rId1"/>
    <sheet name="Income Statement" sheetId="2" r:id="rId2"/>
    <sheet name="Balance Sheet" sheetId="3" r:id="rId3"/>
    <sheet name="Cash Flow Statement" sheetId="4" r:id="rId4"/>
    <sheet name="Analyst Estimates" sheetId="5" r:id="rId5"/>
    <sheet name="WACC" sheetId="6" r:id="rId6"/>
  </sheets>
  <definedNames>
    <definedName name="tgr">DCF!$D$19</definedName>
    <definedName name="wacc">DCF!$D$18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D19" i="1"/>
  <c r="S108" i="1"/>
  <c r="S107" i="1"/>
  <c r="C12" i="6"/>
  <c r="C19" i="6" s="1"/>
  <c r="K16" i="1" s="1"/>
  <c r="C11" i="6"/>
  <c r="C6" i="6"/>
  <c r="C17" i="6"/>
  <c r="S85" i="1"/>
  <c r="S83" i="1"/>
  <c r="P13" i="1"/>
  <c r="H13" i="1"/>
  <c r="S84" i="1"/>
  <c r="S77" i="1"/>
  <c r="S79" i="1"/>
  <c r="S78" i="1"/>
  <c r="AG80" i="1"/>
  <c r="AF80" i="1"/>
  <c r="F35" i="1"/>
  <c r="G35" i="1" s="1"/>
  <c r="H35" i="1" s="1"/>
  <c r="I35" i="1" s="1"/>
  <c r="J35" i="1" s="1"/>
  <c r="K35" i="1" s="1"/>
  <c r="L35" i="1" s="1"/>
  <c r="M35" i="1" s="1"/>
  <c r="N35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F60" i="1"/>
  <c r="G60" i="1" s="1"/>
  <c r="H60" i="1" s="1"/>
  <c r="I60" i="1" s="1"/>
  <c r="J60" i="1" s="1"/>
  <c r="K60" i="1" s="1"/>
  <c r="L60" i="1" s="1"/>
  <c r="M60" i="1" s="1"/>
  <c r="N60" i="1" s="1"/>
  <c r="E98" i="1"/>
  <c r="E95" i="1"/>
  <c r="E92" i="1"/>
  <c r="L68" i="1"/>
  <c r="K68" i="1"/>
  <c r="E63" i="1"/>
  <c r="I4" i="4"/>
  <c r="F52" i="1"/>
  <c r="G52" i="1"/>
  <c r="H52" i="1"/>
  <c r="I52" i="1"/>
  <c r="L48" i="1"/>
  <c r="K48" i="1"/>
  <c r="L52" i="1"/>
  <c r="K52" i="1"/>
  <c r="J52" i="1"/>
  <c r="J48" i="1"/>
  <c r="J31" i="1"/>
  <c r="K31" i="1"/>
  <c r="L31" i="1"/>
  <c r="L28" i="1"/>
  <c r="K28" i="1"/>
  <c r="J28" i="1"/>
  <c r="J25" i="1"/>
  <c r="K25" i="1"/>
  <c r="L25" i="1"/>
  <c r="L53" i="1" s="1"/>
  <c r="I55" i="1"/>
  <c r="H55" i="1"/>
  <c r="G55" i="1"/>
  <c r="F55" i="1"/>
  <c r="E55" i="1"/>
  <c r="E52" i="1"/>
  <c r="I48" i="1"/>
  <c r="H48" i="1"/>
  <c r="G48" i="1"/>
  <c r="F48" i="1"/>
  <c r="E48" i="1"/>
  <c r="I31" i="1"/>
  <c r="J42" i="1" s="1"/>
  <c r="H31" i="1"/>
  <c r="G31" i="1"/>
  <c r="F31" i="1"/>
  <c r="E31" i="1"/>
  <c r="I28" i="1"/>
  <c r="H28" i="1"/>
  <c r="G28" i="1"/>
  <c r="F28" i="1"/>
  <c r="E28" i="1"/>
  <c r="I25" i="1"/>
  <c r="H25" i="1"/>
  <c r="G25" i="1"/>
  <c r="F25" i="1"/>
  <c r="E25" i="1"/>
  <c r="K61" i="1" l="1"/>
  <c r="K36" i="1"/>
  <c r="I68" i="1"/>
  <c r="I98" i="1" s="1"/>
  <c r="I39" i="1"/>
  <c r="I81" i="1" s="1"/>
  <c r="H16" i="1"/>
  <c r="P16" i="1"/>
  <c r="D18" i="1" s="1"/>
  <c r="H65" i="1"/>
  <c r="H95" i="1" s="1"/>
  <c r="H61" i="1"/>
  <c r="H92" i="1" s="1"/>
  <c r="L65" i="1"/>
  <c r="G68" i="1"/>
  <c r="G98" i="1" s="1"/>
  <c r="F68" i="1"/>
  <c r="F98" i="1" s="1"/>
  <c r="J50" i="1"/>
  <c r="L61" i="1"/>
  <c r="L63" i="1" s="1"/>
  <c r="G65" i="1"/>
  <c r="G95" i="1" s="1"/>
  <c r="J61" i="1"/>
  <c r="L50" i="1"/>
  <c r="J65" i="1"/>
  <c r="F36" i="1"/>
  <c r="H42" i="1"/>
  <c r="H87" i="1" s="1"/>
  <c r="G61" i="1"/>
  <c r="G92" i="1" s="1"/>
  <c r="F65" i="1"/>
  <c r="I65" i="1"/>
  <c r="I95" i="1" s="1"/>
  <c r="F61" i="1"/>
  <c r="F92" i="1" s="1"/>
  <c r="H68" i="1"/>
  <c r="H98" i="1" s="1"/>
  <c r="K50" i="1"/>
  <c r="K65" i="1"/>
  <c r="E56" i="1"/>
  <c r="J36" i="1"/>
  <c r="L42" i="1"/>
  <c r="I61" i="1"/>
  <c r="I92" i="1" s="1"/>
  <c r="H39" i="1"/>
  <c r="H81" i="1" s="1"/>
  <c r="G42" i="1"/>
  <c r="G87" i="1" s="1"/>
  <c r="E50" i="1"/>
  <c r="I50" i="1"/>
  <c r="K42" i="1"/>
  <c r="I36" i="1"/>
  <c r="I75" i="1" s="1"/>
  <c r="I42" i="1"/>
  <c r="I87" i="1" s="1"/>
  <c r="L32" i="1"/>
  <c r="G36" i="1"/>
  <c r="F39" i="1"/>
  <c r="H36" i="1"/>
  <c r="H75" i="1" s="1"/>
  <c r="G39" i="1"/>
  <c r="G81" i="1" s="1"/>
  <c r="F42" i="1"/>
  <c r="F87" i="1" s="1"/>
  <c r="F57" i="1"/>
  <c r="L36" i="1"/>
  <c r="E42" i="1"/>
  <c r="E87" i="1" s="1"/>
  <c r="E36" i="1"/>
  <c r="E99" i="1" s="1"/>
  <c r="E39" i="1"/>
  <c r="E81" i="1" s="1"/>
  <c r="L29" i="1"/>
  <c r="K32" i="1"/>
  <c r="L39" i="1"/>
  <c r="K39" i="1"/>
  <c r="J39" i="1"/>
  <c r="H32" i="1"/>
  <c r="H50" i="1"/>
  <c r="F32" i="1"/>
  <c r="G53" i="1"/>
  <c r="G29" i="1"/>
  <c r="H26" i="1"/>
  <c r="G26" i="1"/>
  <c r="F29" i="1"/>
  <c r="E32" i="1"/>
  <c r="I32" i="1"/>
  <c r="H53" i="1"/>
  <c r="G57" i="1"/>
  <c r="I26" i="1"/>
  <c r="F50" i="1"/>
  <c r="I53" i="1"/>
  <c r="H57" i="1"/>
  <c r="J32" i="1"/>
  <c r="I29" i="1"/>
  <c r="I57" i="1"/>
  <c r="J29" i="1"/>
  <c r="I49" i="1"/>
  <c r="H29" i="1"/>
  <c r="G32" i="1"/>
  <c r="E53" i="1"/>
  <c r="G56" i="1"/>
  <c r="L26" i="1"/>
  <c r="H49" i="1"/>
  <c r="J49" i="1"/>
  <c r="L49" i="1"/>
  <c r="J53" i="1"/>
  <c r="H56" i="1"/>
  <c r="K26" i="1"/>
  <c r="K49" i="1"/>
  <c r="K53" i="1"/>
  <c r="F26" i="1"/>
  <c r="E29" i="1"/>
  <c r="G50" i="1"/>
  <c r="F53" i="1"/>
  <c r="F56" i="1"/>
  <c r="K29" i="1"/>
  <c r="I56" i="1"/>
  <c r="E49" i="1"/>
  <c r="F49" i="1"/>
  <c r="G49" i="1"/>
  <c r="K63" i="1" l="1"/>
  <c r="I82" i="1"/>
  <c r="I76" i="1"/>
  <c r="H93" i="1"/>
  <c r="G88" i="1"/>
  <c r="K66" i="1"/>
  <c r="H99" i="1"/>
  <c r="I93" i="1"/>
  <c r="F40" i="1"/>
  <c r="F81" i="1"/>
  <c r="F88" i="1" s="1"/>
  <c r="F66" i="1"/>
  <c r="F95" i="1"/>
  <c r="F96" i="1" s="1"/>
  <c r="E88" i="1"/>
  <c r="H82" i="1"/>
  <c r="I96" i="1"/>
  <c r="H88" i="1"/>
  <c r="J63" i="1"/>
  <c r="F99" i="1"/>
  <c r="H96" i="1"/>
  <c r="I88" i="1"/>
  <c r="H63" i="1"/>
  <c r="I99" i="1"/>
  <c r="G96" i="1"/>
  <c r="G99" i="1"/>
  <c r="E96" i="1"/>
  <c r="F69" i="1"/>
  <c r="F75" i="1"/>
  <c r="F93" i="1" s="1"/>
  <c r="F70" i="1"/>
  <c r="E75" i="1"/>
  <c r="E93" i="1" s="1"/>
  <c r="G37" i="1"/>
  <c r="G75" i="1"/>
  <c r="G76" i="1" s="1"/>
  <c r="F62" i="1"/>
  <c r="G63" i="1"/>
  <c r="K40" i="1"/>
  <c r="K84" i="1" s="1"/>
  <c r="I66" i="1"/>
  <c r="H43" i="1"/>
  <c r="L37" i="1"/>
  <c r="L78" i="1" s="1"/>
  <c r="M78" i="1" s="1"/>
  <c r="N78" i="1" s="1"/>
  <c r="O78" i="1" s="1"/>
  <c r="P78" i="1" s="1"/>
  <c r="Q78" i="1" s="1"/>
  <c r="R78" i="1" s="1"/>
  <c r="H40" i="1"/>
  <c r="J66" i="1"/>
  <c r="F63" i="1"/>
  <c r="K37" i="1"/>
  <c r="K78" i="1" s="1"/>
  <c r="J40" i="1"/>
  <c r="J84" i="1" s="1"/>
  <c r="K62" i="1"/>
  <c r="G62" i="1"/>
  <c r="L62" i="1"/>
  <c r="I69" i="1"/>
  <c r="J62" i="1"/>
  <c r="G69" i="1"/>
  <c r="H69" i="1"/>
  <c r="I70" i="1"/>
  <c r="G70" i="1"/>
  <c r="H70" i="1"/>
  <c r="H62" i="1"/>
  <c r="G66" i="1"/>
  <c r="F37" i="1"/>
  <c r="E69" i="1"/>
  <c r="E62" i="1"/>
  <c r="E66" i="1"/>
  <c r="H66" i="1"/>
  <c r="L66" i="1"/>
  <c r="I63" i="1"/>
  <c r="I62" i="1"/>
  <c r="I43" i="1"/>
  <c r="F43" i="1"/>
  <c r="I37" i="1"/>
  <c r="G43" i="1"/>
  <c r="J37" i="1"/>
  <c r="J78" i="1" s="1"/>
  <c r="I40" i="1"/>
  <c r="G40" i="1"/>
  <c r="L40" i="1"/>
  <c r="L84" i="1" s="1"/>
  <c r="K43" i="1"/>
  <c r="H37" i="1"/>
  <c r="E43" i="1"/>
  <c r="J43" i="1"/>
  <c r="L43" i="1"/>
  <c r="E40" i="1"/>
  <c r="M99" i="1" l="1"/>
  <c r="N99" i="1"/>
  <c r="R99" i="1"/>
  <c r="Q99" i="1"/>
  <c r="K99" i="1"/>
  <c r="O99" i="1"/>
  <c r="S99" i="1"/>
  <c r="L99" i="1"/>
  <c r="P99" i="1"/>
  <c r="J99" i="1"/>
  <c r="K96" i="1"/>
  <c r="O96" i="1"/>
  <c r="S96" i="1"/>
  <c r="L96" i="1"/>
  <c r="P96" i="1"/>
  <c r="J96" i="1"/>
  <c r="N96" i="1"/>
  <c r="M96" i="1"/>
  <c r="Q96" i="1"/>
  <c r="R96" i="1"/>
  <c r="L83" i="1"/>
  <c r="M83" i="1" s="1"/>
  <c r="N83" i="1" s="1"/>
  <c r="O83" i="1" s="1"/>
  <c r="P83" i="1" s="1"/>
  <c r="Q83" i="1" s="1"/>
  <c r="R83" i="1" s="1"/>
  <c r="M84" i="1"/>
  <c r="L85" i="1"/>
  <c r="M85" i="1" s="1"/>
  <c r="N85" i="1" s="1"/>
  <c r="O85" i="1" s="1"/>
  <c r="P85" i="1" s="1"/>
  <c r="Q85" i="1" s="1"/>
  <c r="R85" i="1" s="1"/>
  <c r="J85" i="1"/>
  <c r="J82" i="1" s="1"/>
  <c r="J83" i="1"/>
  <c r="K83" i="1"/>
  <c r="K85" i="1"/>
  <c r="H11" i="1"/>
  <c r="L77" i="1" s="1"/>
  <c r="M77" i="1" s="1"/>
  <c r="N77" i="1" s="1"/>
  <c r="O77" i="1" s="1"/>
  <c r="P77" i="1" s="1"/>
  <c r="Q77" i="1" s="1"/>
  <c r="R77" i="1" s="1"/>
  <c r="P11" i="1"/>
  <c r="L79" i="1" s="1"/>
  <c r="M79" i="1" s="1"/>
  <c r="N79" i="1" s="1"/>
  <c r="O79" i="1" s="1"/>
  <c r="P79" i="1" s="1"/>
  <c r="Q79" i="1" s="1"/>
  <c r="R79" i="1" s="1"/>
  <c r="P10" i="1"/>
  <c r="K79" i="1" s="1"/>
  <c r="H10" i="1"/>
  <c r="K77" i="1" s="1"/>
  <c r="H9" i="1"/>
  <c r="J77" i="1" s="1"/>
  <c r="P9" i="1"/>
  <c r="J79" i="1" s="1"/>
  <c r="G82" i="1"/>
  <c r="G93" i="1"/>
  <c r="E82" i="1"/>
  <c r="F82" i="1"/>
  <c r="F76" i="1"/>
  <c r="H76" i="1"/>
  <c r="M93" i="1" l="1"/>
  <c r="Q93" i="1"/>
  <c r="L93" i="1"/>
  <c r="N93" i="1"/>
  <c r="R93" i="1"/>
  <c r="P93" i="1"/>
  <c r="K93" i="1"/>
  <c r="O93" i="1"/>
  <c r="S93" i="1"/>
  <c r="J93" i="1"/>
  <c r="N84" i="1"/>
  <c r="O84" i="1" l="1"/>
  <c r="P84" i="1" l="1"/>
  <c r="Q84" i="1" l="1"/>
  <c r="R84" i="1" l="1"/>
  <c r="J76" i="1" l="1"/>
  <c r="J75" i="1" s="1"/>
  <c r="K76" i="1"/>
  <c r="L76" i="1"/>
  <c r="M76" i="1"/>
  <c r="N76" i="1"/>
  <c r="O76" i="1"/>
  <c r="P76" i="1"/>
  <c r="Q76" i="1"/>
  <c r="R76" i="1"/>
  <c r="S76" i="1"/>
  <c r="K82" i="1"/>
  <c r="L82" i="1"/>
  <c r="M82" i="1"/>
  <c r="N82" i="1"/>
  <c r="O82" i="1"/>
  <c r="P82" i="1"/>
  <c r="Q82" i="1"/>
  <c r="R82" i="1"/>
  <c r="S82" i="1"/>
  <c r="K75" i="1" l="1"/>
  <c r="J81" i="1"/>
  <c r="K81" i="1"/>
  <c r="L75" i="1"/>
  <c r="K95" i="1"/>
  <c r="K92" i="1"/>
  <c r="K98" i="1"/>
  <c r="L81" i="1"/>
  <c r="J98" i="1"/>
  <c r="J92" i="1"/>
  <c r="J87" i="1"/>
  <c r="J90" i="1" s="1"/>
  <c r="J101" i="1" s="1"/>
  <c r="J102" i="1" s="1"/>
  <c r="J95" i="1"/>
  <c r="K87" i="1" l="1"/>
  <c r="K90" i="1"/>
  <c r="K101" i="1" s="1"/>
  <c r="K102" i="1" s="1"/>
  <c r="L87" i="1"/>
  <c r="L90" i="1" s="1"/>
  <c r="L92" i="1"/>
  <c r="L98" i="1"/>
  <c r="M75" i="1"/>
  <c r="L95" i="1"/>
  <c r="L101" i="1" l="1"/>
  <c r="L102" i="1" s="1"/>
  <c r="N75" i="1"/>
  <c r="M92" i="1"/>
  <c r="M98" i="1"/>
  <c r="M95" i="1"/>
  <c r="M81" i="1"/>
  <c r="M87" i="1" l="1"/>
  <c r="M90" i="1"/>
  <c r="M101" i="1" s="1"/>
  <c r="M102" i="1" s="1"/>
  <c r="O75" i="1"/>
  <c r="N95" i="1"/>
  <c r="N98" i="1"/>
  <c r="N81" i="1"/>
  <c r="N92" i="1"/>
  <c r="N87" i="1" l="1"/>
  <c r="N90" i="1" s="1"/>
  <c r="N101" i="1" s="1"/>
  <c r="N102" i="1" s="1"/>
  <c r="O81" i="1"/>
  <c r="O92" i="1"/>
  <c r="O98" i="1"/>
  <c r="P75" i="1"/>
  <c r="O95" i="1"/>
  <c r="O87" i="1" l="1"/>
  <c r="O90" i="1" s="1"/>
  <c r="O101" i="1" s="1"/>
  <c r="O102" i="1" s="1"/>
  <c r="P92" i="1"/>
  <c r="P98" i="1"/>
  <c r="P95" i="1"/>
  <c r="Q75" i="1"/>
  <c r="P81" i="1"/>
  <c r="P87" i="1" l="1"/>
  <c r="P90" i="1"/>
  <c r="P101" i="1" s="1"/>
  <c r="P102" i="1" s="1"/>
  <c r="Q95" i="1"/>
  <c r="Q92" i="1"/>
  <c r="Q98" i="1"/>
  <c r="R75" i="1"/>
  <c r="Q81" i="1"/>
  <c r="Q87" i="1" l="1"/>
  <c r="Q90" i="1" s="1"/>
  <c r="Q101" i="1" s="1"/>
  <c r="Q102" i="1" s="1"/>
  <c r="S75" i="1"/>
  <c r="R95" i="1"/>
  <c r="R92" i="1"/>
  <c r="R98" i="1"/>
  <c r="R81" i="1"/>
  <c r="R87" i="1" l="1"/>
  <c r="R90" i="1" s="1"/>
  <c r="R101" i="1" s="1"/>
  <c r="R102" i="1" s="1"/>
  <c r="S81" i="1"/>
  <c r="S92" i="1"/>
  <c r="S98" i="1"/>
  <c r="S95" i="1"/>
  <c r="S87" i="1" l="1"/>
  <c r="S90" i="1"/>
  <c r="S101" i="1" s="1"/>
  <c r="S103" i="1" l="1"/>
  <c r="S104" i="1" s="1"/>
  <c r="S102" i="1"/>
  <c r="S106" i="1" s="1"/>
  <c r="S110" i="1" s="1"/>
  <c r="S112" i="1" s="1"/>
  <c r="F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4" authorId="0" shapeId="0" xr:uid="{9FF90EE3-C27F-5E4F-875F-750F81D7AC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Around $130 would be a more fair value for NVIDIA.</t>
        </r>
      </text>
    </comment>
    <comment ref="B7" authorId="0" shapeId="0" xr:uid="{A810A421-6184-4747-8099-46D904B313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Makes Model More Dynamic</t>
        </r>
      </text>
    </comment>
    <comment ref="K11" authorId="0" shapeId="0" xr:uid="{74225FFD-32BC-934D-BA36-E937CC8A467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Older competitors seem to grow roughly at 5% pa</t>
        </r>
      </text>
    </comment>
    <comment ref="B19" authorId="0" shapeId="0" xr:uid="{B3CC1949-7B7D-5A41-9E29-BB7032330E6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Terminal Growth Rate</t>
        </r>
      </text>
    </comment>
    <comment ref="E24" authorId="0" shapeId="0" xr:uid="{6BEC4AED-58E9-F845-9B13-1DB5C64284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Jan 2018 - Jan 2019</t>
        </r>
      </text>
    </comment>
    <comment ref="I26" authorId="0" shapeId="0" xr:uid="{AAE72BAD-3242-614C-B4F8-E89BE65F98E7}">
      <text>
        <r>
          <rPr>
            <b/>
            <sz val="14"/>
            <color rgb="FF000000"/>
            <rFont val="Calibri"/>
            <family val="2"/>
          </rPr>
          <t>Microsoft Office User:</t>
        </r>
        <r>
          <rPr>
            <b/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 xml:space="preserve">Revenue Margins aren't consistent, but at least the EBIT margins are relatively constant
</t>
        </r>
      </text>
    </comment>
    <comment ref="I37" authorId="0" shapeId="0" xr:uid="{B05DD406-F886-9A42-89DE-1926E9A1C9F3}">
      <text>
        <r>
          <rPr>
            <b/>
            <sz val="14"/>
            <color rgb="FF000000"/>
            <rFont val="Calibri"/>
            <family val="2"/>
          </rPr>
          <t>Microsoft Office User:</t>
        </r>
        <r>
          <rPr>
            <b/>
            <sz val="16"/>
            <color rgb="FF000000"/>
            <rFont val="Calibri"/>
            <family val="2"/>
          </rPr>
          <t xml:space="preserve">
</t>
        </r>
        <r>
          <rPr>
            <b/>
            <sz val="16"/>
            <color rgb="FF000000"/>
            <rFont val="Calibri"/>
            <family val="2"/>
          </rPr>
          <t xml:space="preserve">Revenue Margins aren't consistent, but at least the EBIT margins are relatively constant
</t>
        </r>
      </text>
    </comment>
    <comment ref="B52" authorId="0" shapeId="0" xr:uid="{75A51FAB-46CF-3349-BFFD-32B0781ECDFE}">
      <text>
        <r>
          <rPr>
            <b/>
            <sz val="14"/>
            <color rgb="FF000000"/>
            <rFont val="Calibri"/>
            <family val="2"/>
          </rPr>
          <t>Microsoft Office User:</t>
        </r>
      </text>
    </comment>
    <comment ref="B65" authorId="0" shapeId="0" xr:uid="{9166B0F7-512E-8F40-A765-9743B91775C9}">
      <text>
        <r>
          <rPr>
            <b/>
            <sz val="14"/>
            <color rgb="FF000000"/>
            <rFont val="Calibri"/>
            <family val="2"/>
          </rPr>
          <t>Microsoft Office User:</t>
        </r>
      </text>
    </comment>
    <comment ref="M78" authorId="0" shapeId="0" xr:uid="{8F072971-3601-3347-B966-574CAA4BE9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Linearly growing it down to 5%</t>
        </r>
      </text>
    </comment>
    <comment ref="S78" authorId="0" shapeId="0" xr:uid="{9410F0C9-49FC-C44E-8273-369B8F1631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Compared 10Y growth to that of INTEL.
</t>
        </r>
      </text>
    </comment>
    <comment ref="J88" authorId="0" shapeId="0" xr:uid="{08FCB18C-C44B-414B-9D96-E48A051137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Average of 2021 - 2024 from FactSet
</t>
        </r>
      </text>
    </comment>
    <comment ref="B92" authorId="0" shapeId="0" xr:uid="{86990837-534E-D44B-9F23-4982E01D064A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b/>
            <sz val="10"/>
            <color rgb="FF000000"/>
            <rFont val="Tahoma"/>
            <family val="2"/>
          </rPr>
          <t>Opted to use % of Sales due to it being more stable (and thus easier)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9" authorId="0" shapeId="0" xr:uid="{590E8FB3-8B2D-2B4C-AE6C-4D9DBAFD5E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Very Quick and Dirty WACC
</t>
        </r>
      </text>
    </comment>
  </commentList>
</comments>
</file>

<file path=xl/sharedStrings.xml><?xml version="1.0" encoding="utf-8"?>
<sst xmlns="http://schemas.openxmlformats.org/spreadsheetml/2006/main" count="381" uniqueCount="229">
  <si>
    <t>NVIDIA DCF</t>
  </si>
  <si>
    <t>Date</t>
  </si>
  <si>
    <t>Ticker</t>
  </si>
  <si>
    <t>NVDA</t>
  </si>
  <si>
    <t>Switches</t>
  </si>
  <si>
    <t>Revenue</t>
  </si>
  <si>
    <t>% growth</t>
  </si>
  <si>
    <t>EBIT</t>
  </si>
  <si>
    <t>% of sales</t>
  </si>
  <si>
    <t>Taxes</t>
  </si>
  <si>
    <t>% of EBIT</t>
  </si>
  <si>
    <t>D&amp;A</t>
  </si>
  <si>
    <t>% of CapEx</t>
  </si>
  <si>
    <t>CapEx</t>
  </si>
  <si>
    <t>Change in NWC</t>
  </si>
  <si>
    <t>% of change in sales</t>
  </si>
  <si>
    <t>DCF</t>
  </si>
  <si>
    <t>date</t>
  </si>
  <si>
    <t>2018-01-28_FY</t>
  </si>
  <si>
    <t>2019-01-27_FY</t>
  </si>
  <si>
    <t>2020-01-26_FY</t>
  </si>
  <si>
    <t>2021-01-31_FY</t>
  </si>
  <si>
    <t>2022-01-30_FY</t>
  </si>
  <si>
    <t>revenue</t>
  </si>
  <si>
    <t>costOfRevenue</t>
  </si>
  <si>
    <t>grossProfit</t>
  </si>
  <si>
    <t>grossProfitRatio</t>
  </si>
  <si>
    <t>COST And EXPENSES</t>
  </si>
  <si>
    <t>ResearchAndDevelopmentExpenses</t>
  </si>
  <si>
    <t>GeneralAndAdministrativeExpenses</t>
  </si>
  <si>
    <t>SellingAndMarketingExpenses</t>
  </si>
  <si>
    <t>otherExpenses</t>
  </si>
  <si>
    <t>operatingExpenses</t>
  </si>
  <si>
    <t>costAndExpenses</t>
  </si>
  <si>
    <t>interestExpense</t>
  </si>
  <si>
    <t>EBITDA</t>
  </si>
  <si>
    <t>depreciationAndAmortization</t>
  </si>
  <si>
    <t>EBITDARatio</t>
  </si>
  <si>
    <t>INCOME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</si>
  <si>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</si>
  <si>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</si>
  <si>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</si>
  <si>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</si>
  <si>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</si>
  <si>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</si>
  <si>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</si>
  <si>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</si>
  <si>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</si>
  <si>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</si>
  <si>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</si>
  <si>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</si>
  <si>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ASSETS</t>
  </si>
  <si>
    <t>CURRENT ASSETS</t>
  </si>
  <si>
    <t>cashAndCashEquivalents</t>
  </si>
  <si>
    <t>shortTermInvestments</t>
  </si>
  <si>
    <t>cashAndShortTermInvestments</t>
  </si>
  <si>
    <t>netReceivables</t>
  </si>
  <si>
    <t>inventory</t>
  </si>
  <si>
    <t>otherCurrentAssets</t>
  </si>
  <si>
    <t>totalCurrentAssets</t>
  </si>
  <si>
    <t>NON CURRENT ASSETS</t>
  </si>
  <si>
    <t>propertyPlantEquipmentNet</t>
  </si>
  <si>
    <t>goodwill</t>
  </si>
  <si>
    <t>intangibleAssets</t>
  </si>
  <si>
    <t>goodwillAndIntangibleAssets</t>
  </si>
  <si>
    <t>longTermInvestments</t>
  </si>
  <si>
    <t>taxAssets</t>
  </si>
  <si>
    <t>otherNonCurrentAssets</t>
  </si>
  <si>
    <t>totalNonCurrentAssets</t>
  </si>
  <si>
    <t>TOTAL ASSETS</t>
  </si>
  <si>
    <t>otherAssets</t>
  </si>
  <si>
    <t>totalAssets</t>
  </si>
  <si>
    <t>LIABILITIES</t>
  </si>
  <si>
    <t>CURRENT LIABILITIES</t>
  </si>
  <si>
    <t>accountPayables</t>
  </si>
  <si>
    <t>shortTermDebt</t>
  </si>
  <si>
    <t>taxPayables</t>
  </si>
  <si>
    <t>deferredRevenue</t>
  </si>
  <si>
    <t>otherCurrentLiabilities</t>
  </si>
  <si>
    <t>totalCurrentLiabilities</t>
  </si>
  <si>
    <t>NON CURRENT LIABILITIES</t>
  </si>
  <si>
    <t>longTermDebt</t>
  </si>
  <si>
    <t>deferredRevenueNonCurrent</t>
  </si>
  <si>
    <t>deferrredTaxLiabilitiesNonCurrent</t>
  </si>
  <si>
    <t>otherNonCurrentLiabilities</t>
  </si>
  <si>
    <t>totalNonCurrentLiabilities</t>
  </si>
  <si>
    <t>TOTAL LIABILITIES</t>
  </si>
  <si>
    <t>otherLiabilities</t>
  </si>
  <si>
    <t>totalLiabilities</t>
  </si>
  <si>
    <t>STOCKHOLDERS EQUITY</t>
  </si>
  <si>
    <t>commonStock</t>
  </si>
  <si>
    <t>retainedEarnings</t>
  </si>
  <si>
    <t>accumulatedOtherComprehensiveIncomeLoss</t>
  </si>
  <si>
    <t>othertotalStockholdersEquity</t>
  </si>
  <si>
    <t>totalStockholdersEquity</t>
  </si>
  <si>
    <t>LIABILITIES and EQUITY</t>
  </si>
  <si>
    <t>totalLiabilitiesAndStockholdersEquity</t>
  </si>
  <si>
    <t>INVESTMENT and DEBT</t>
  </si>
  <si>
    <t>totalInvestments</t>
  </si>
  <si>
    <t>totalDebt</t>
  </si>
  <si>
    <t>netDebt</t>
  </si>
  <si>
    <t>CashProvidedByOperatingActivites</t>
  </si>
  <si>
    <t>deferredIncomeTax</t>
  </si>
  <si>
    <t>stockBasedCompensation</t>
  </si>
  <si>
    <t>changeInWorkingCapital</t>
  </si>
  <si>
    <t>accountsReceivables</t>
  </si>
  <si>
    <t>accountsPayables</t>
  </si>
  <si>
    <t>otherWorkingCapital</t>
  </si>
  <si>
    <t>otherNonCashItems</t>
  </si>
  <si>
    <t>netCashProvidedByOperatingActivites</t>
  </si>
  <si>
    <t>CashProvidedByInvestingActivites</t>
  </si>
  <si>
    <t>investmentsInPropertyPlantAndEquipment</t>
  </si>
  <si>
    <t>acquisitionsNet</t>
  </si>
  <si>
    <t>purchasesOfInvestments</t>
  </si>
  <si>
    <t>salesMaturitiesOfInvestments</t>
  </si>
  <si>
    <t>otherInvestingActivites</t>
  </si>
  <si>
    <t>netCashUsedForInvestingActivites</t>
  </si>
  <si>
    <t>CashProvidedByFinancingingActivites</t>
  </si>
  <si>
    <t>debtRepayment</t>
  </si>
  <si>
    <t>commonStockIssued</t>
  </si>
  <si>
    <t>commonStockRepurchased</t>
  </si>
  <si>
    <t>dividendsPaid</t>
  </si>
  <si>
    <t>otherFinancingActivites</t>
  </si>
  <si>
    <t>netCashUsedProvidedByFinancingActivities</t>
  </si>
  <si>
    <t>Other</t>
  </si>
  <si>
    <t>effectOfForexChangesOnCash</t>
  </si>
  <si>
    <t>Cash&amp;CashFlow</t>
  </si>
  <si>
    <t>netChangeInCash</t>
  </si>
  <si>
    <t>cashAtEndOfPeriod</t>
  </si>
  <si>
    <t>cashAtBeginningOfPeriod</t>
  </si>
  <si>
    <t>operatingCashFlow</t>
  </si>
  <si>
    <t>capitalExpenditure</t>
  </si>
  <si>
    <t>freeCashFlow</t>
  </si>
  <si>
    <t>NVDA.O | Statement App | Key Measures</t>
  </si>
  <si>
    <t>Mean | Annual</t>
  </si>
  <si>
    <t>Consolidated | USD</t>
  </si>
  <si>
    <t>Next Earning Report</t>
  </si>
  <si>
    <t>HISTORICAL (ACTUALS)</t>
  </si>
  <si>
    <t>FORECAST (MEAN)</t>
  </si>
  <si>
    <t>FY Jan-20</t>
  </si>
  <si>
    <t>FY Jan-21</t>
  </si>
  <si>
    <t>FY Jan-22</t>
  </si>
  <si>
    <t>FY Jan-23</t>
  </si>
  <si>
    <t>FY Jan-24</t>
  </si>
  <si>
    <t>FY Jan-25</t>
  </si>
  <si>
    <t>EARNINGS PER SHARE</t>
  </si>
  <si>
    <t>    YoY Growth %</t>
  </si>
  <si>
    <t>    Actual/Predicted Surprise %</t>
  </si>
  <si>
    <t>    Mean at time of Report</t>
  </si>
  <si>
    <t>EARNINGS PER SHARE REPORTED</t>
  </si>
  <si>
    <t>REVENUE</t>
  </si>
  <si>
    <t>    Guidance</t>
  </si>
  <si>
    <t>T</t>
  </si>
  <si>
    <t>-</t>
  </si>
  <si>
    <t>        AUTOMOTIVE</t>
  </si>
  <si>
    <t>            YoY Growth %</t>
  </si>
  <si>
    <t>        DATACENTER</t>
  </si>
  <si>
    <t>        GAMING</t>
  </si>
  <si>
    <t>        OEM AND IP</t>
  </si>
  <si>
    <t>        PROFESSIONAL VISUALIZATION</t>
  </si>
  <si>
    <t>COST OF GOODS SOLD</t>
  </si>
  <si>
    <t>GROSS INCOME</t>
  </si>
  <si>
    <t>GROSS PROFIT MARGIN</t>
  </si>
  <si>
    <t>    YoY Growth</t>
  </si>
  <si>
    <t>R&amp;D EXPENSE</t>
  </si>
  <si>
    <t>INTEREST EXPENSE</t>
  </si>
  <si>
    <t>PRE-TAX PROFIT</t>
  </si>
  <si>
    <t>TAX RATE</t>
  </si>
  <si>
    <t>TAX PROVISION</t>
  </si>
  <si>
    <t>NET INCOME</t>
  </si>
  <si>
    <t>PRE-TAX PROFIT REPORTED</t>
  </si>
  <si>
    <t>NET INCOME REPORTED</t>
  </si>
  <si>
    <t>DIVIDEND PER SHARE</t>
  </si>
  <si>
    <t>Income Statement (JAN FYE)</t>
  </si>
  <si>
    <t>Cash Flow Items (JAN FYE)</t>
  </si>
  <si>
    <t>Income Statement (12/31 YE)</t>
  </si>
  <si>
    <t>Cash Flow Items (12/31 YE)</t>
  </si>
  <si>
    <t>EBIAT</t>
  </si>
  <si>
    <t>Unlevered Free Cash Flow</t>
  </si>
  <si>
    <t>Green:</t>
  </si>
  <si>
    <t>Link to another sheet</t>
  </si>
  <si>
    <t>Purple:</t>
  </si>
  <si>
    <t>Link to the same sheet</t>
  </si>
  <si>
    <t>Concervative Case</t>
  </si>
  <si>
    <t>Base / Street Case</t>
  </si>
  <si>
    <t>Optimistic Case</t>
  </si>
  <si>
    <t>Revenue Growth</t>
  </si>
  <si>
    <t>EBIT Margin</t>
  </si>
  <si>
    <t>WACC</t>
  </si>
  <si>
    <t>TGR</t>
  </si>
  <si>
    <t>Conservative Case</t>
  </si>
  <si>
    <t>Base Case</t>
  </si>
  <si>
    <t>Revenue 2022</t>
  </si>
  <si>
    <t>Revenue 2031</t>
  </si>
  <si>
    <t>Revenue 2023</t>
  </si>
  <si>
    <t xml:space="preserve">Valuation Assumptions </t>
  </si>
  <si>
    <t>Intel  Revenue</t>
  </si>
  <si>
    <t>Revenue 2024</t>
  </si>
  <si>
    <t>EBIT 2031</t>
  </si>
  <si>
    <t>EBIT 2022 - 2024</t>
  </si>
  <si>
    <t>Present Value of FCF</t>
  </si>
  <si>
    <t xml:space="preserve">WACC = (%Debt) * (Cost of Debt + (1-tax rate)) + (% of Equity * Cost of Equity) </t>
  </si>
  <si>
    <t>Cost of Debt</t>
  </si>
  <si>
    <t>Tax Rate</t>
  </si>
  <si>
    <t>Equity Value</t>
  </si>
  <si>
    <t>% Equity</t>
  </si>
  <si>
    <t>Cost of Equity</t>
  </si>
  <si>
    <t>Risk Free Rate</t>
  </si>
  <si>
    <t>Beta</t>
  </si>
  <si>
    <t>Market Risk Premium</t>
  </si>
  <si>
    <t>Debt</t>
  </si>
  <si>
    <t>% Debt</t>
  </si>
  <si>
    <t>Total</t>
  </si>
  <si>
    <t>Terminal Value</t>
  </si>
  <si>
    <t>Present Value of Terminal Value</t>
  </si>
  <si>
    <t>Enterprise Value</t>
  </si>
  <si>
    <t>+ Cash</t>
  </si>
  <si>
    <t>- Debt</t>
  </si>
  <si>
    <t>Shares</t>
  </si>
  <si>
    <t>Share Price</t>
  </si>
  <si>
    <t>Implied Share Price:</t>
  </si>
  <si>
    <t>Current Share Price:</t>
  </si>
  <si>
    <t>Conservative Case:</t>
  </si>
  <si>
    <t>Optimistic Case:</t>
  </si>
  <si>
    <t>§</t>
  </si>
  <si>
    <t>Average:</t>
  </si>
  <si>
    <t>[1]</t>
  </si>
  <si>
    <t>[2]</t>
  </si>
  <si>
    <t>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</si>
</sst>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R&quot;* #,##0.00_);_(&quot;R&quot;* \(#,##0.00\);_(&quot;R&quot;* &quot;-&quot;??_);_(@_)"/>
    <numFmt numFmtId="164" formatCode="#,,"/>
    <numFmt numFmtId="165" formatCode="0.0%"/>
    <numFmt numFmtId="166" formatCode="[$$-409]#,##0.00"/>
    <numFmt numFmtId="167" formatCode="0.000"/>
    <numFmt numFmtId="168" formatCode="0.00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0"/>
      <name val="Calibri (Body)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548235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0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rgb="FF2FB4C8"/>
      <name val="Calibri"/>
      <family val="2"/>
      <charset val="204"/>
      <scheme val="minor"/>
    </font>
    <font>
      <sz val="10"/>
      <color rgb="FFF5475B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4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E8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DFFFF"/>
        <bgColor rgb="FF000000"/>
      </patternFill>
    </fill>
    <fill>
      <patternFill patternType="solid">
        <fgColor rgb="FFC9EDFF"/>
        <bgColor rgb="FF000000"/>
      </patternFill>
    </fill>
    <fill>
      <patternFill patternType="solid">
        <fgColor rgb="FFF2F3F7"/>
        <bgColor rgb="FF000000"/>
      </patternFill>
    </fill>
    <fill>
      <patternFill patternType="solid">
        <fgColor rgb="FFD0D4DB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/>
      <right style="hair">
        <color theme="2" tint="-9.9978637043366805E-2"/>
      </right>
      <top style="hair">
        <color theme="2" tint="-9.9978637043366805E-2"/>
      </top>
      <bottom/>
      <diagonal/>
    </border>
    <border>
      <left/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/>
      <right style="hair">
        <color theme="2" tint="-9.9978637043366805E-2"/>
      </right>
      <top/>
      <bottom style="hair">
        <color theme="2" tint="-9.9978637043366805E-2"/>
      </bottom>
      <diagonal/>
    </border>
    <border>
      <left style="hair">
        <color theme="2" tint="-9.9978637043366805E-2"/>
      </left>
      <right/>
      <top style="hair">
        <color theme="2" tint="-9.9978637043366805E-2"/>
      </top>
      <bottom style="hair">
        <color theme="2" tint="-9.9978637043366805E-2"/>
      </bottom>
      <diagonal/>
    </border>
    <border>
      <left style="hair">
        <color theme="2" tint="-9.9978637043366805E-2"/>
      </left>
      <right/>
      <top style="hair">
        <color theme="2" tint="-9.9978637043366805E-2"/>
      </top>
      <bottom/>
      <diagonal/>
    </border>
    <border>
      <left/>
      <right/>
      <top style="hair">
        <color theme="2" tint="-9.9978637043366805E-2"/>
      </top>
      <bottom style="hair">
        <color theme="2" tint="-9.9978637043366805E-2"/>
      </bottom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theme="2" tint="-9.9978637043366805E-2"/>
      </top>
      <bottom/>
      <diagonal/>
    </border>
    <border>
      <left style="hair">
        <color theme="2" tint="-9.9978637043366805E-2"/>
      </left>
      <right style="hair">
        <color theme="2" tint="-9.9978637043366805E-2"/>
      </right>
      <top/>
      <bottom style="hair">
        <color theme="2" tint="-9.9978637043366805E-2"/>
      </bottom>
      <diagonal/>
    </border>
    <border>
      <left style="hair">
        <color theme="2" tint="-9.9978637043366805E-2"/>
      </left>
      <right style="hair">
        <color theme="2" tint="-9.9978637043366805E-2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hair">
        <color theme="2" tint="-9.9978637043366805E-2"/>
      </top>
      <bottom style="hair">
        <color theme="2" tint="-9.9978637043366805E-2"/>
      </bottom>
      <diagonal/>
    </border>
    <border>
      <left style="thin">
        <color theme="1"/>
      </left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/>
      <right/>
      <top style="hair">
        <color theme="2" tint="-9.9978637043366805E-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2" borderId="0" xfId="0" applyFont="1" applyFill="1"/>
    <xf numFmtId="0" fontId="5" fillId="0" borderId="0" xfId="0" applyFont="1"/>
    <xf numFmtId="0" fontId="7" fillId="0" borderId="0" xfId="0" applyFont="1"/>
    <xf numFmtId="164" fontId="6" fillId="0" borderId="0" xfId="0" applyNumberFormat="1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166" fontId="11" fillId="0" borderId="0" xfId="1" applyNumberFormat="1" applyFont="1"/>
    <xf numFmtId="166" fontId="13" fillId="0" borderId="0" xfId="1" applyNumberFormat="1" applyFont="1"/>
    <xf numFmtId="2" fontId="11" fillId="0" borderId="0" xfId="0" applyNumberFormat="1" applyFont="1"/>
    <xf numFmtId="2" fontId="13" fillId="0" borderId="0" xfId="0" applyNumberFormat="1" applyFont="1"/>
    <xf numFmtId="165" fontId="0" fillId="0" borderId="0" xfId="2" applyNumberFormat="1" applyFont="1"/>
    <xf numFmtId="164" fontId="14" fillId="0" borderId="0" xfId="0" applyNumberFormat="1" applyFont="1"/>
    <xf numFmtId="14" fontId="0" fillId="2" borderId="0" xfId="0" applyNumberFormat="1" applyFill="1" applyBorder="1"/>
    <xf numFmtId="0" fontId="0" fillId="2" borderId="0" xfId="0" applyFill="1" applyBorder="1"/>
    <xf numFmtId="0" fontId="8" fillId="0" borderId="0" xfId="0" applyFont="1"/>
    <xf numFmtId="164" fontId="8" fillId="0" borderId="0" xfId="0" applyNumberFormat="1" applyFont="1"/>
    <xf numFmtId="165" fontId="8" fillId="0" borderId="0" xfId="2" applyNumberFormat="1" applyFont="1"/>
    <xf numFmtId="0" fontId="8" fillId="2" borderId="0" xfId="0" applyFont="1" applyFill="1"/>
    <xf numFmtId="165" fontId="15" fillId="0" borderId="0" xfId="0" applyNumberFormat="1" applyFont="1"/>
    <xf numFmtId="167" fontId="16" fillId="0" borderId="0" xfId="0" applyNumberFormat="1" applyFont="1" applyAlignment="1">
      <alignment wrapText="1"/>
    </xf>
    <xf numFmtId="0" fontId="17" fillId="0" borderId="0" xfId="0" applyFont="1"/>
    <xf numFmtId="167" fontId="16" fillId="5" borderId="3" xfId="0" applyNumberFormat="1" applyFont="1" applyFill="1" applyBorder="1" applyAlignment="1">
      <alignment wrapText="1"/>
    </xf>
    <xf numFmtId="167" fontId="16" fillId="5" borderId="4" xfId="0" applyNumberFormat="1" applyFont="1" applyFill="1" applyBorder="1" applyAlignment="1">
      <alignment wrapText="1"/>
    </xf>
    <xf numFmtId="167" fontId="16" fillId="5" borderId="5" xfId="0" applyNumberFormat="1" applyFont="1" applyFill="1" applyBorder="1" applyAlignment="1">
      <alignment wrapText="1"/>
    </xf>
    <xf numFmtId="167" fontId="16" fillId="5" borderId="6" xfId="0" applyNumberFormat="1" applyFont="1" applyFill="1" applyBorder="1" applyAlignment="1">
      <alignment wrapText="1"/>
    </xf>
    <xf numFmtId="167" fontId="18" fillId="6" borderId="6" xfId="0" applyNumberFormat="1" applyFont="1" applyFill="1" applyBorder="1" applyAlignment="1">
      <alignment wrapText="1"/>
    </xf>
    <xf numFmtId="167" fontId="16" fillId="5" borderId="1" xfId="0" applyNumberFormat="1" applyFont="1" applyFill="1" applyBorder="1" applyAlignment="1">
      <alignment wrapText="1"/>
    </xf>
    <xf numFmtId="167" fontId="16" fillId="7" borderId="7" xfId="0" applyNumberFormat="1" applyFont="1" applyFill="1" applyBorder="1" applyAlignment="1">
      <alignment wrapText="1"/>
    </xf>
    <xf numFmtId="167" fontId="16" fillId="7" borderId="8" xfId="0" applyNumberFormat="1" applyFont="1" applyFill="1" applyBorder="1" applyAlignment="1">
      <alignment wrapText="1"/>
    </xf>
    <xf numFmtId="167" fontId="18" fillId="6" borderId="8" xfId="0" applyNumberFormat="1" applyFont="1" applyFill="1" applyBorder="1" applyAlignment="1">
      <alignment wrapText="1"/>
    </xf>
    <xf numFmtId="167" fontId="16" fillId="8" borderId="8" xfId="0" applyNumberFormat="1" applyFont="1" applyFill="1" applyBorder="1" applyAlignment="1">
      <alignment wrapText="1"/>
    </xf>
    <xf numFmtId="167" fontId="16" fillId="5" borderId="8" xfId="0" applyNumberFormat="1" applyFont="1" applyFill="1" applyBorder="1" applyAlignment="1">
      <alignment wrapText="1"/>
    </xf>
    <xf numFmtId="167" fontId="16" fillId="9" borderId="7" xfId="0" applyNumberFormat="1" applyFont="1" applyFill="1" applyBorder="1" applyAlignment="1">
      <alignment horizontal="left"/>
    </xf>
    <xf numFmtId="167" fontId="16" fillId="9" borderId="8" xfId="0" applyNumberFormat="1" applyFont="1" applyFill="1" applyBorder="1" applyAlignment="1">
      <alignment horizontal="right"/>
    </xf>
    <xf numFmtId="167" fontId="16" fillId="8" borderId="8" xfId="0" applyNumberFormat="1" applyFont="1" applyFill="1" applyBorder="1" applyAlignment="1">
      <alignment horizontal="right"/>
    </xf>
    <xf numFmtId="167" fontId="18" fillId="10" borderId="7" xfId="0" applyNumberFormat="1" applyFont="1" applyFill="1" applyBorder="1" applyAlignment="1">
      <alignment horizontal="left"/>
    </xf>
    <xf numFmtId="168" fontId="18" fillId="10" borderId="8" xfId="0" applyNumberFormat="1" applyFont="1" applyFill="1" applyBorder="1" applyAlignment="1">
      <alignment horizontal="right"/>
    </xf>
    <xf numFmtId="168" fontId="18" fillId="8" borderId="8" xfId="0" applyNumberFormat="1" applyFont="1" applyFill="1" applyBorder="1" applyAlignment="1">
      <alignment horizontal="right"/>
    </xf>
    <xf numFmtId="168" fontId="18" fillId="10" borderId="7" xfId="0" applyNumberFormat="1" applyFont="1" applyFill="1" applyBorder="1" applyAlignment="1">
      <alignment horizontal="left"/>
    </xf>
    <xf numFmtId="168" fontId="19" fillId="10" borderId="8" xfId="0" applyNumberFormat="1" applyFont="1" applyFill="1" applyBorder="1" applyAlignment="1">
      <alignment horizontal="right"/>
    </xf>
    <xf numFmtId="168" fontId="18" fillId="6" borderId="8" xfId="0" applyNumberFormat="1" applyFont="1" applyFill="1" applyBorder="1" applyAlignment="1">
      <alignment wrapText="1"/>
    </xf>
    <xf numFmtId="167" fontId="18" fillId="10" borderId="8" xfId="0" applyNumberFormat="1" applyFont="1" applyFill="1" applyBorder="1" applyAlignment="1">
      <alignment horizontal="right"/>
    </xf>
    <xf numFmtId="167" fontId="18" fillId="8" borderId="8" xfId="0" applyNumberFormat="1" applyFont="1" applyFill="1" applyBorder="1" applyAlignment="1">
      <alignment horizontal="right"/>
    </xf>
    <xf numFmtId="167" fontId="16" fillId="5" borderId="7" xfId="0" applyNumberFormat="1" applyFont="1" applyFill="1" applyBorder="1" applyAlignment="1">
      <alignment horizontal="left"/>
    </xf>
    <xf numFmtId="167" fontId="16" fillId="5" borderId="8" xfId="0" applyNumberFormat="1" applyFont="1" applyFill="1" applyBorder="1" applyAlignment="1">
      <alignment horizontal="right"/>
    </xf>
    <xf numFmtId="168" fontId="16" fillId="9" borderId="8" xfId="0" applyNumberFormat="1" applyFont="1" applyFill="1" applyBorder="1" applyAlignment="1">
      <alignment horizontal="right"/>
    </xf>
    <xf numFmtId="168" fontId="16" fillId="8" borderId="8" xfId="0" applyNumberFormat="1" applyFont="1" applyFill="1" applyBorder="1" applyAlignment="1">
      <alignment horizontal="right"/>
    </xf>
    <xf numFmtId="168" fontId="20" fillId="10" borderId="8" xfId="0" applyNumberFormat="1" applyFont="1" applyFill="1" applyBorder="1" applyAlignment="1">
      <alignment horizontal="right"/>
    </xf>
    <xf numFmtId="168" fontId="19" fillId="8" borderId="8" xfId="0" applyNumberFormat="1" applyFont="1" applyFill="1" applyBorder="1" applyAlignment="1">
      <alignment horizontal="right"/>
    </xf>
    <xf numFmtId="0" fontId="0" fillId="0" borderId="9" xfId="0" applyBorder="1"/>
    <xf numFmtId="164" fontId="6" fillId="0" borderId="0" xfId="1" applyNumberFormat="1" applyFont="1"/>
    <xf numFmtId="164" fontId="14" fillId="0" borderId="0" xfId="0" applyNumberFormat="1" applyFont="1" applyBorder="1"/>
    <xf numFmtId="166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24" fillId="0" borderId="0" xfId="0" applyFont="1"/>
    <xf numFmtId="164" fontId="0" fillId="0" borderId="0" xfId="0" applyNumberFormat="1"/>
    <xf numFmtId="164" fontId="0" fillId="0" borderId="0" xfId="0" applyNumberFormat="1" applyFont="1"/>
    <xf numFmtId="0" fontId="0" fillId="0" borderId="0" xfId="0" applyFont="1"/>
    <xf numFmtId="165" fontId="8" fillId="0" borderId="0" xfId="0" applyNumberFormat="1" applyFont="1"/>
    <xf numFmtId="0" fontId="25" fillId="2" borderId="10" xfId="0" applyFont="1" applyFill="1" applyBorder="1" applyAlignment="1">
      <alignment horizontal="right"/>
    </xf>
    <xf numFmtId="0" fontId="0" fillId="2" borderId="11" xfId="0" applyFont="1" applyFill="1" applyBorder="1"/>
    <xf numFmtId="0" fontId="0" fillId="2" borderId="12" xfId="0" applyFill="1" applyBorder="1"/>
    <xf numFmtId="164" fontId="26" fillId="0" borderId="0" xfId="0" applyNumberFormat="1" applyFont="1"/>
    <xf numFmtId="0" fontId="27" fillId="0" borderId="10" xfId="0" applyFont="1" applyBorder="1" applyAlignment="1">
      <alignment horizontal="right"/>
    </xf>
    <xf numFmtId="9" fontId="0" fillId="0" borderId="0" xfId="2" applyFont="1"/>
    <xf numFmtId="0" fontId="0" fillId="3" borderId="13" xfId="0" applyFill="1" applyBorder="1"/>
    <xf numFmtId="0" fontId="0" fillId="3" borderId="20" xfId="0" applyFill="1" applyBorder="1"/>
    <xf numFmtId="0" fontId="0" fillId="3" borderId="21" xfId="0" applyFill="1" applyBorder="1"/>
    <xf numFmtId="165" fontId="0" fillId="3" borderId="13" xfId="0" applyNumberFormat="1" applyFill="1" applyBorder="1"/>
    <xf numFmtId="0" fontId="3" fillId="4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right"/>
    </xf>
    <xf numFmtId="165" fontId="0" fillId="3" borderId="15" xfId="0" applyNumberFormat="1" applyFill="1" applyBorder="1"/>
    <xf numFmtId="0" fontId="0" fillId="4" borderId="0" xfId="0" applyFill="1" applyBorder="1"/>
    <xf numFmtId="0" fontId="4" fillId="4" borderId="0" xfId="0" applyFont="1" applyFill="1" applyBorder="1"/>
    <xf numFmtId="164" fontId="6" fillId="0" borderId="0" xfId="0" applyNumberFormat="1" applyFont="1" applyBorder="1"/>
    <xf numFmtId="165" fontId="8" fillId="0" borderId="0" xfId="2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165" fontId="15" fillId="0" borderId="0" xfId="0" applyNumberFormat="1" applyFont="1" applyBorder="1"/>
    <xf numFmtId="165" fontId="8" fillId="0" borderId="0" xfId="0" applyNumberFormat="1" applyFont="1" applyBorder="1"/>
    <xf numFmtId="0" fontId="21" fillId="0" borderId="0" xfId="0" applyFont="1"/>
    <xf numFmtId="0" fontId="0" fillId="0" borderId="0" xfId="0" applyFill="1" applyBorder="1"/>
    <xf numFmtId="9" fontId="0" fillId="3" borderId="21" xfId="0" applyNumberFormat="1" applyFill="1" applyBorder="1"/>
    <xf numFmtId="9" fontId="0" fillId="3" borderId="15" xfId="0" applyNumberFormat="1" applyFill="1" applyBorder="1"/>
    <xf numFmtId="165" fontId="0" fillId="3" borderId="14" xfId="0" applyNumberFormat="1" applyFill="1" applyBorder="1"/>
    <xf numFmtId="165" fontId="0" fillId="3" borderId="17" xfId="0" applyNumberFormat="1" applyFill="1" applyBorder="1"/>
    <xf numFmtId="165" fontId="0" fillId="3" borderId="21" xfId="0" applyNumberFormat="1" applyFill="1" applyBorder="1"/>
    <xf numFmtId="165" fontId="0" fillId="3" borderId="18" xfId="0" applyNumberFormat="1" applyFill="1" applyBorder="1"/>
    <xf numFmtId="9" fontId="0" fillId="3" borderId="14" xfId="0" applyNumberFormat="1" applyFill="1" applyBorder="1"/>
    <xf numFmtId="9" fontId="0" fillId="3" borderId="16" xfId="0" applyNumberFormat="1" applyFill="1" applyBorder="1"/>
    <xf numFmtId="165" fontId="0" fillId="3" borderId="16" xfId="0" applyNumberFormat="1" applyFill="1" applyBorder="1"/>
    <xf numFmtId="9" fontId="0" fillId="3" borderId="13" xfId="0" applyNumberFormat="1" applyFill="1" applyBorder="1"/>
    <xf numFmtId="9" fontId="0" fillId="0" borderId="0" xfId="0" applyNumberFormat="1"/>
    <xf numFmtId="165" fontId="0" fillId="3" borderId="20" xfId="0" applyNumberFormat="1" applyFill="1" applyBorder="1"/>
    <xf numFmtId="0" fontId="7" fillId="0" borderId="17" xfId="0" applyFont="1" applyBorder="1"/>
    <xf numFmtId="0" fontId="0" fillId="0" borderId="19" xfId="0" applyBorder="1"/>
    <xf numFmtId="165" fontId="8" fillId="0" borderId="19" xfId="2" applyNumberFormat="1" applyFont="1" applyBorder="1"/>
    <xf numFmtId="0" fontId="5" fillId="0" borderId="17" xfId="0" applyFont="1" applyBorder="1"/>
    <xf numFmtId="164" fontId="1" fillId="0" borderId="19" xfId="0" applyNumberFormat="1" applyFont="1" applyBorder="1"/>
    <xf numFmtId="164" fontId="1" fillId="0" borderId="15" xfId="0" applyNumberFormat="1" applyFont="1" applyBorder="1"/>
    <xf numFmtId="165" fontId="0" fillId="0" borderId="0" xfId="0" applyNumberFormat="1"/>
    <xf numFmtId="164" fontId="0" fillId="0" borderId="19" xfId="0" applyNumberFormat="1" applyBorder="1"/>
    <xf numFmtId="4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168" fontId="0" fillId="0" borderId="0" xfId="2" applyNumberFormat="1" applyFont="1"/>
    <xf numFmtId="168" fontId="0" fillId="0" borderId="0" xfId="0" applyNumberFormat="1"/>
    <xf numFmtId="10" fontId="0" fillId="3" borderId="21" xfId="2" applyNumberFormat="1" applyFont="1" applyFill="1" applyBorder="1"/>
    <xf numFmtId="168" fontId="0" fillId="3" borderId="21" xfId="0" applyNumberFormat="1" applyFill="1" applyBorder="1"/>
    <xf numFmtId="9" fontId="0" fillId="3" borderId="20" xfId="0" applyNumberFormat="1" applyFill="1" applyBorder="1"/>
    <xf numFmtId="0" fontId="5" fillId="0" borderId="0" xfId="0" applyFont="1" applyBorder="1"/>
    <xf numFmtId="0" fontId="5" fillId="0" borderId="0" xfId="0" applyFont="1" applyFill="1" applyBorder="1"/>
    <xf numFmtId="164" fontId="0" fillId="0" borderId="0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3" borderId="22" xfId="0" applyFill="1" applyBorder="1"/>
    <xf numFmtId="166" fontId="0" fillId="0" borderId="0" xfId="1" applyNumberFormat="1" applyFont="1" applyBorder="1"/>
    <xf numFmtId="168" fontId="0" fillId="3" borderId="16" xfId="2" applyNumberFormat="1" applyFont="1" applyFill="1" applyBorder="1"/>
    <xf numFmtId="10" fontId="0" fillId="3" borderId="16" xfId="0" applyNumberFormat="1" applyFill="1" applyBorder="1"/>
    <xf numFmtId="0" fontId="21" fillId="0" borderId="0" xfId="0" applyFont="1" applyBorder="1"/>
    <xf numFmtId="164" fontId="6" fillId="0" borderId="0" xfId="1" applyNumberFormat="1" applyFont="1" applyBorder="1"/>
    <xf numFmtId="1" fontId="14" fillId="0" borderId="0" xfId="0" applyNumberFormat="1" applyFont="1" applyBorder="1"/>
    <xf numFmtId="0" fontId="8" fillId="0" borderId="0" xfId="0" applyFont="1" applyBorder="1"/>
    <xf numFmtId="0" fontId="0" fillId="0" borderId="23" xfId="0" applyBorder="1"/>
    <xf numFmtId="0" fontId="0" fillId="0" borderId="24" xfId="0" applyBorder="1"/>
    <xf numFmtId="165" fontId="8" fillId="0" borderId="24" xfId="2" applyNumberFormat="1" applyFont="1" applyBorder="1"/>
    <xf numFmtId="164" fontId="0" fillId="0" borderId="24" xfId="0" applyNumberFormat="1" applyFont="1" applyBorder="1"/>
    <xf numFmtId="165" fontId="0" fillId="3" borderId="25" xfId="0" applyNumberFormat="1" applyFill="1" applyBorder="1"/>
    <xf numFmtId="165" fontId="0" fillId="3" borderId="26" xfId="0" applyNumberFormat="1" applyFill="1" applyBorder="1"/>
    <xf numFmtId="9" fontId="0" fillId="0" borderId="24" xfId="0" applyNumberFormat="1" applyBorder="1"/>
    <xf numFmtId="164" fontId="1" fillId="0" borderId="25" xfId="0" applyNumberFormat="1" applyFont="1" applyBorder="1"/>
    <xf numFmtId="165" fontId="0" fillId="0" borderId="24" xfId="0" applyNumberFormat="1" applyBorder="1"/>
    <xf numFmtId="165" fontId="0" fillId="0" borderId="24" xfId="2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16" xfId="0" applyFill="1" applyBorder="1"/>
    <xf numFmtId="166" fontId="21" fillId="0" borderId="0" xfId="0" applyNumberFormat="1" applyFont="1" applyAlignment="1">
      <alignment horizontal="left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7" xfId="0" applyBorder="1"/>
    <xf numFmtId="0" fontId="5" fillId="0" borderId="0" xfId="0" quotePrefix="1" applyFont="1"/>
    <xf numFmtId="49" fontId="0" fillId="0" borderId="0" xfId="0" applyNumberFormat="1"/>
    <xf numFmtId="167" fontId="16" fillId="0" borderId="0" xfId="0" applyNumberFormat="1" applyFont="1" applyAlignment="1">
      <alignment wrapText="1"/>
    </xf>
    <xf numFmtId="167" fontId="18" fillId="0" borderId="0" xfId="0" applyNumberFormat="1" applyFont="1" applyAlignment="1">
      <alignment wrapText="1"/>
    </xf>
    <xf numFmtId="167" fontId="16" fillId="5" borderId="4" xfId="0" applyNumberFormat="1" applyFont="1" applyFill="1" applyBorder="1" applyAlignment="1">
      <alignment wrapText="1"/>
    </xf>
    <xf numFmtId="167" fontId="16" fillId="5" borderId="5" xfId="0" applyNumberFormat="1" applyFont="1" applyFill="1" applyBorder="1" applyAlignment="1">
      <alignment wrapText="1"/>
    </xf>
    <xf numFmtId="167" fontId="16" fillId="5" borderId="6" xfId="0" applyNumberFormat="1" applyFont="1" applyFill="1" applyBorder="1" applyAlignment="1">
      <alignment wrapText="1"/>
    </xf>
    <xf numFmtId="167" fontId="16" fillId="10" borderId="4" xfId="0" applyNumberFormat="1" applyFont="1" applyFill="1" applyBorder="1"/>
    <xf numFmtId="167" fontId="16" fillId="10" borderId="5" xfId="0" applyNumberFormat="1" applyFont="1" applyFill="1" applyBorder="1"/>
    <xf numFmtId="167" fontId="16" fillId="10" borderId="6" xfId="0" applyNumberFormat="1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0</xdr:row>
      <xdr:rowOff>63500</xdr:rowOff>
    </xdr:from>
    <xdr:to>
      <xdr:col>12</xdr:col>
      <xdr:colOff>596900</xdr:colOff>
      <xdr:row>3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F5814-CF39-61BD-DAA8-30A431CE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4300" y="63500"/>
          <a:ext cx="4038600" cy="647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0</xdr:row>
      <xdr:rowOff>101270</xdr:rowOff>
    </xdr:from>
    <xdr:to>
      <xdr:col>16</xdr:col>
      <xdr:colOff>774700</xdr:colOff>
      <xdr:row>3</xdr:row>
      <xdr:rowOff>165099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DB131-1DDE-19B7-87D5-2C32725D8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45900" y="101270"/>
          <a:ext cx="3022600" cy="673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339E-C638-CD4E-9450-E321DC2E8F34}">
  <dimension ref="A1:AG339"/>
  <sheetViews>
    <sheetView showGridLines="0" tabSelected="1" zoomScale="83" workbookViewId="0">
      <selection activeCell="L5" sqref="L5"/>
    </sheetView>
  </sheetViews>
  <sheetFormatPr baseColWidth="10" defaultRowHeight="16" outlineLevelRow="1" x14ac:dyDescent="0.2"/>
  <cols>
    <col min="1" max="1" width="4.33203125" customWidth="1"/>
    <col min="3" max="3" width="11.83203125" bestFit="1" customWidth="1"/>
    <col min="5" max="5" width="13.6640625" bestFit="1" customWidth="1"/>
    <col min="6" max="6" width="13.83203125" bestFit="1" customWidth="1"/>
    <col min="9" max="9" width="10.83203125" style="58"/>
    <col min="10" max="10" width="13.5" bestFit="1" customWidth="1"/>
    <col min="11" max="12" width="12.1640625" bestFit="1" customWidth="1"/>
    <col min="19" max="19" width="10.83203125" customWidth="1"/>
  </cols>
  <sheetData>
    <row r="1" spans="2:24" x14ac:dyDescent="0.2">
      <c r="I1" s="62"/>
      <c r="O1" s="1"/>
      <c r="P1" s="1"/>
      <c r="Q1" s="1"/>
      <c r="R1" s="1"/>
      <c r="S1" s="1"/>
      <c r="T1" s="1"/>
    </row>
    <row r="2" spans="2:24" s="2" customFormat="1" ht="26" x14ac:dyDescent="0.3">
      <c r="B2" s="3" t="s">
        <v>0</v>
      </c>
      <c r="I2" s="62"/>
      <c r="J2" s="62"/>
      <c r="O2" s="4"/>
      <c r="P2" s="4"/>
      <c r="Q2" s="4"/>
      <c r="R2" s="4"/>
      <c r="S2" s="4"/>
      <c r="T2" s="4"/>
    </row>
    <row r="3" spans="2:24" x14ac:dyDescent="0.2">
      <c r="I3" s="134"/>
      <c r="J3" s="134"/>
      <c r="O3" s="1"/>
      <c r="P3" s="1"/>
      <c r="Q3" s="1"/>
      <c r="R3" s="1"/>
      <c r="S3" s="1"/>
      <c r="T3" s="1"/>
      <c r="U3" s="70" t="s">
        <v>179</v>
      </c>
      <c r="V3" s="71" t="s">
        <v>180</v>
      </c>
      <c r="W3" s="72"/>
    </row>
    <row r="4" spans="2:24" x14ac:dyDescent="0.2">
      <c r="B4" t="s">
        <v>1</v>
      </c>
      <c r="C4" s="147">
        <v>44747</v>
      </c>
      <c r="D4" s="21"/>
      <c r="E4" s="125" t="s">
        <v>220</v>
      </c>
      <c r="F4" s="61">
        <f ca="1">S112</f>
        <v>106.82119148630979</v>
      </c>
      <c r="H4" s="125" t="s">
        <v>222</v>
      </c>
      <c r="I4" s="127">
        <v>80.75</v>
      </c>
      <c r="J4" s="62"/>
      <c r="K4" s="125" t="s">
        <v>225</v>
      </c>
      <c r="L4" s="146">
        <f>AVERAGE(I4,I5)</f>
        <v>129.73000000000002</v>
      </c>
      <c r="O4" s="1"/>
      <c r="P4" s="1"/>
      <c r="Q4" s="1"/>
      <c r="R4" s="1"/>
      <c r="S4" s="1"/>
      <c r="T4" s="1"/>
      <c r="U4" s="74" t="s">
        <v>181</v>
      </c>
      <c r="V4" s="63" t="s">
        <v>182</v>
      </c>
      <c r="W4" s="64"/>
    </row>
    <row r="5" spans="2:24" x14ac:dyDescent="0.2">
      <c r="B5" t="s">
        <v>2</v>
      </c>
      <c r="C5" s="148" t="s">
        <v>3</v>
      </c>
      <c r="D5" s="22"/>
      <c r="E5" s="125" t="s">
        <v>221</v>
      </c>
      <c r="F5" s="61">
        <v>149.63999999999999</v>
      </c>
      <c r="H5" s="125" t="s">
        <v>223</v>
      </c>
      <c r="I5" s="127">
        <v>178.71</v>
      </c>
      <c r="J5" s="62"/>
      <c r="O5" s="1"/>
      <c r="P5" s="1"/>
      <c r="Q5" s="1"/>
      <c r="R5" s="1"/>
      <c r="S5" s="1"/>
      <c r="T5" s="1"/>
    </row>
    <row r="6" spans="2:24" x14ac:dyDescent="0.2">
      <c r="I6" s="62"/>
      <c r="J6" s="62"/>
      <c r="O6" s="1"/>
      <c r="P6" s="1"/>
      <c r="Q6" s="1"/>
      <c r="R6" s="1"/>
      <c r="S6" s="1"/>
      <c r="T6" s="1"/>
      <c r="V6" s="81"/>
      <c r="W6" s="62"/>
      <c r="X6" s="62"/>
    </row>
    <row r="7" spans="2:24" ht="19" x14ac:dyDescent="0.25">
      <c r="B7" s="5" t="s">
        <v>4</v>
      </c>
      <c r="C7" s="6"/>
      <c r="D7" s="6"/>
      <c r="E7" s="6"/>
      <c r="F7" s="6"/>
      <c r="G7" s="6"/>
      <c r="H7" s="6"/>
      <c r="I7" s="83"/>
      <c r="J7" s="80"/>
      <c r="K7" s="80"/>
      <c r="L7" s="80"/>
      <c r="M7" s="80"/>
      <c r="N7" s="80"/>
      <c r="O7" s="80"/>
      <c r="P7" s="80"/>
      <c r="Q7" s="80"/>
      <c r="R7" s="80"/>
      <c r="S7" s="80"/>
      <c r="T7" s="144"/>
    </row>
    <row r="8" spans="2:24" x14ac:dyDescent="0.2">
      <c r="B8" s="91" t="s">
        <v>4</v>
      </c>
      <c r="F8" s="91" t="s">
        <v>190</v>
      </c>
      <c r="I8" s="62"/>
      <c r="J8" s="130" t="s">
        <v>191</v>
      </c>
      <c r="N8" s="91" t="s">
        <v>185</v>
      </c>
      <c r="O8" s="1"/>
      <c r="Q8" s="1"/>
      <c r="R8" s="1"/>
      <c r="S8" s="1"/>
      <c r="T8" s="1"/>
    </row>
    <row r="9" spans="2:24" x14ac:dyDescent="0.2">
      <c r="B9" t="s">
        <v>186</v>
      </c>
      <c r="D9" s="77">
        <v>2</v>
      </c>
      <c r="F9" t="s">
        <v>192</v>
      </c>
      <c r="G9" s="92"/>
      <c r="H9" s="95">
        <f>J78-0.02</f>
        <v>0.24794131340553663</v>
      </c>
      <c r="I9" s="62"/>
      <c r="J9" s="62"/>
      <c r="M9" t="s">
        <v>224</v>
      </c>
      <c r="N9" t="s">
        <v>192</v>
      </c>
      <c r="O9" s="1"/>
      <c r="P9" s="79">
        <f>J78+0.02</f>
        <v>0.28794131340553664</v>
      </c>
      <c r="Q9" s="1"/>
      <c r="R9" s="1"/>
      <c r="S9" s="1"/>
      <c r="T9" s="1"/>
      <c r="V9" s="81"/>
      <c r="W9" s="62"/>
      <c r="X9" s="62"/>
    </row>
    <row r="10" spans="2:24" x14ac:dyDescent="0.2">
      <c r="B10" t="s">
        <v>187</v>
      </c>
      <c r="D10" s="76">
        <v>2</v>
      </c>
      <c r="F10" t="s">
        <v>194</v>
      </c>
      <c r="H10" s="82">
        <f>K78-2%</f>
        <v>0.14495714453627853</v>
      </c>
      <c r="I10" s="62"/>
      <c r="J10" s="62"/>
      <c r="N10" t="s">
        <v>194</v>
      </c>
      <c r="P10" s="97">
        <f>K78+5%</f>
        <v>0.21495714453627851</v>
      </c>
      <c r="Q10" s="1"/>
      <c r="R10" s="1"/>
      <c r="S10" s="1"/>
      <c r="T10" s="1"/>
      <c r="V10" s="81"/>
      <c r="W10" s="62"/>
      <c r="X10" s="62"/>
    </row>
    <row r="11" spans="2:24" x14ac:dyDescent="0.2">
      <c r="F11" t="s">
        <v>197</v>
      </c>
      <c r="H11" s="101">
        <f>L78-2%</f>
        <v>0.14485059194718655</v>
      </c>
      <c r="I11" s="62"/>
      <c r="J11" s="62" t="s">
        <v>193</v>
      </c>
      <c r="K11" s="100">
        <v>0.05</v>
      </c>
      <c r="N11" t="s">
        <v>197</v>
      </c>
      <c r="P11" s="101">
        <f>L78+5%</f>
        <v>0.21485059194718653</v>
      </c>
      <c r="Q11" s="1"/>
      <c r="R11" s="1"/>
      <c r="S11" s="1"/>
      <c r="T11" s="1"/>
      <c r="V11" s="81"/>
      <c r="W11" s="62"/>
      <c r="X11" s="62"/>
    </row>
    <row r="12" spans="2:24" x14ac:dyDescent="0.2">
      <c r="B12" t="s">
        <v>188</v>
      </c>
      <c r="D12" s="78">
        <v>2</v>
      </c>
      <c r="F12" t="s">
        <v>193</v>
      </c>
      <c r="G12" s="92"/>
      <c r="H12" s="94">
        <v>0.02</v>
      </c>
      <c r="I12" s="62"/>
      <c r="J12" s="62" t="s">
        <v>198</v>
      </c>
      <c r="K12" s="100">
        <v>0.35</v>
      </c>
      <c r="N12" t="s">
        <v>193</v>
      </c>
      <c r="O12" s="1"/>
      <c r="P12" s="93">
        <v>7.0000000000000007E-2</v>
      </c>
      <c r="Q12" s="1"/>
      <c r="R12" s="1"/>
      <c r="S12" s="1"/>
      <c r="T12" s="1"/>
      <c r="V12" s="81"/>
      <c r="W12" s="62"/>
      <c r="X12" s="62"/>
    </row>
    <row r="13" spans="2:24" x14ac:dyDescent="0.2">
      <c r="B13" t="s">
        <v>189</v>
      </c>
      <c r="D13" s="126">
        <v>2</v>
      </c>
      <c r="F13" t="s">
        <v>199</v>
      </c>
      <c r="G13" s="92"/>
      <c r="H13" s="101">
        <f>-2%</f>
        <v>-0.02</v>
      </c>
      <c r="I13" s="62"/>
      <c r="J13" s="62"/>
      <c r="N13" t="s">
        <v>199</v>
      </c>
      <c r="O13" s="1"/>
      <c r="P13" s="104">
        <f>1%</f>
        <v>0.01</v>
      </c>
      <c r="Q13" s="1"/>
      <c r="R13" s="1"/>
      <c r="S13" s="1"/>
      <c r="T13" s="1"/>
      <c r="V13" s="81"/>
      <c r="W13" s="62"/>
      <c r="X13" s="62"/>
    </row>
    <row r="14" spans="2:24" x14ac:dyDescent="0.2">
      <c r="D14" s="92"/>
      <c r="F14" t="s">
        <v>198</v>
      </c>
      <c r="H14" s="102">
        <v>0.3</v>
      </c>
      <c r="I14" s="62"/>
      <c r="J14" s="62"/>
      <c r="K14" s="145"/>
      <c r="N14" t="s">
        <v>198</v>
      </c>
      <c r="P14" s="102">
        <v>0.4</v>
      </c>
      <c r="Q14" s="1"/>
      <c r="R14" s="1"/>
      <c r="S14" s="1"/>
      <c r="T14" s="1"/>
      <c r="V14" s="81"/>
      <c r="W14" s="62"/>
      <c r="X14" s="62"/>
    </row>
    <row r="15" spans="2:24" x14ac:dyDescent="0.2">
      <c r="D15" s="92"/>
      <c r="I15" s="62"/>
      <c r="J15" s="62"/>
      <c r="Q15" s="1"/>
      <c r="R15" s="1"/>
      <c r="S15" s="1"/>
      <c r="T15" s="1"/>
      <c r="V15" s="81"/>
      <c r="W15" s="62"/>
      <c r="X15" s="62"/>
    </row>
    <row r="16" spans="2:24" x14ac:dyDescent="0.2">
      <c r="F16" t="s">
        <v>188</v>
      </c>
      <c r="G16" s="92"/>
      <c r="H16" s="119">
        <f>K16+1%</f>
        <v>0.10608171672994914</v>
      </c>
      <c r="I16" s="62"/>
      <c r="J16" s="62" t="s">
        <v>188</v>
      </c>
      <c r="K16" s="128">
        <f>WACC!C19</f>
        <v>9.608171672994914E-2</v>
      </c>
      <c r="N16" t="s">
        <v>188</v>
      </c>
      <c r="O16" s="1"/>
      <c r="P16" s="119">
        <f>K16-1%</f>
        <v>8.6081716729949145E-2</v>
      </c>
      <c r="Q16" s="1"/>
      <c r="R16" s="1"/>
      <c r="S16" s="1"/>
      <c r="T16" s="1"/>
      <c r="V16" s="81"/>
      <c r="W16" s="62"/>
      <c r="X16" s="62"/>
    </row>
    <row r="17" spans="2:24" x14ac:dyDescent="0.2">
      <c r="B17" s="91" t="s">
        <v>195</v>
      </c>
      <c r="F17" t="s">
        <v>189</v>
      </c>
      <c r="G17" s="92"/>
      <c r="H17" s="100">
        <v>0.02</v>
      </c>
      <c r="I17" s="62"/>
      <c r="J17" s="62" t="s">
        <v>189</v>
      </c>
      <c r="K17" s="129">
        <v>2.5000000000000001E-2</v>
      </c>
      <c r="N17" t="s">
        <v>189</v>
      </c>
      <c r="O17" s="1"/>
      <c r="P17" s="120">
        <v>0.03</v>
      </c>
      <c r="Q17" s="1"/>
      <c r="R17" s="1"/>
      <c r="S17" s="1"/>
      <c r="T17" s="1"/>
      <c r="V17" s="81"/>
      <c r="W17" s="62"/>
      <c r="X17" s="62"/>
    </row>
    <row r="18" spans="2:24" x14ac:dyDescent="0.2">
      <c r="B18" t="s">
        <v>188</v>
      </c>
      <c r="D18" s="118">
        <f>CHOOSE(D12,H16,K16,P16)</f>
        <v>9.608171672994914E-2</v>
      </c>
      <c r="I18" s="62"/>
      <c r="J18" s="62"/>
      <c r="Q18" s="1"/>
      <c r="R18" s="1"/>
      <c r="S18" s="1"/>
      <c r="T18" s="1"/>
      <c r="V18" s="81"/>
      <c r="W18" s="62"/>
      <c r="X18" s="62"/>
    </row>
    <row r="19" spans="2:24" x14ac:dyDescent="0.2">
      <c r="B19" t="s">
        <v>189</v>
      </c>
      <c r="D19" s="118">
        <f>CHOOSE(D13,H17,K17,P17)</f>
        <v>2.5000000000000001E-2</v>
      </c>
      <c r="I19" s="62"/>
      <c r="J19" s="62"/>
      <c r="Q19" s="1"/>
      <c r="R19" s="1"/>
      <c r="S19" s="1"/>
      <c r="T19" s="1"/>
      <c r="V19" s="81"/>
      <c r="W19" s="62"/>
      <c r="X19" s="62"/>
    </row>
    <row r="20" spans="2:24" x14ac:dyDescent="0.2">
      <c r="I20" s="62"/>
      <c r="J20" s="62"/>
      <c r="Q20" s="1"/>
      <c r="R20" s="1"/>
      <c r="S20" s="1"/>
      <c r="T20" s="1"/>
      <c r="V20" s="81"/>
      <c r="W20" s="62"/>
      <c r="X20" s="62"/>
    </row>
    <row r="21" spans="2:24" x14ac:dyDescent="0.2">
      <c r="I21" s="62"/>
      <c r="J21" s="62"/>
      <c r="O21" s="1"/>
      <c r="P21" s="1"/>
      <c r="Q21" s="1"/>
      <c r="R21" s="1"/>
      <c r="S21" s="1"/>
      <c r="T21" s="1"/>
      <c r="V21" s="81"/>
      <c r="W21" s="62"/>
      <c r="X21" s="62"/>
    </row>
    <row r="22" spans="2:24" x14ac:dyDescent="0.2">
      <c r="I22" s="62"/>
      <c r="J22" s="62"/>
      <c r="O22" s="1"/>
      <c r="P22" s="1"/>
      <c r="Q22" s="1"/>
      <c r="R22" s="1"/>
      <c r="S22" s="1"/>
      <c r="T22" s="1"/>
    </row>
    <row r="23" spans="2:24" x14ac:dyDescent="0.2">
      <c r="I23" s="62"/>
      <c r="J23" s="62">
        <v>1</v>
      </c>
      <c r="K23">
        <v>2</v>
      </c>
      <c r="L23">
        <v>3</v>
      </c>
      <c r="M23">
        <v>4</v>
      </c>
      <c r="N23">
        <v>5</v>
      </c>
      <c r="O23" s="1"/>
      <c r="P23" s="1"/>
      <c r="Q23" s="1"/>
      <c r="R23" s="1"/>
      <c r="S23" s="1"/>
      <c r="T23" s="1"/>
    </row>
    <row r="24" spans="2:24" ht="19" x14ac:dyDescent="0.25">
      <c r="B24" s="5" t="s">
        <v>173</v>
      </c>
      <c r="C24" s="6"/>
      <c r="D24" s="6"/>
      <c r="E24" s="7">
        <v>2018</v>
      </c>
      <c r="F24" s="7">
        <v>2019</v>
      </c>
      <c r="G24" s="7">
        <v>2020</v>
      </c>
      <c r="H24" s="7">
        <v>2021</v>
      </c>
      <c r="I24" s="84">
        <v>2022</v>
      </c>
      <c r="J24" s="84">
        <v>2023</v>
      </c>
      <c r="K24" s="7">
        <v>2024</v>
      </c>
      <c r="L24" s="7">
        <v>2025</v>
      </c>
      <c r="M24" s="7">
        <v>2026</v>
      </c>
      <c r="N24" s="7">
        <v>2027</v>
      </c>
      <c r="O24" s="8"/>
      <c r="P24" s="8"/>
      <c r="Q24" s="8"/>
      <c r="R24" s="8"/>
      <c r="S24" s="8"/>
      <c r="T24" s="1"/>
    </row>
    <row r="25" spans="2:24" ht="19" hidden="1" outlineLevel="1" x14ac:dyDescent="0.25">
      <c r="B25" s="9" t="s">
        <v>5</v>
      </c>
      <c r="E25" s="11">
        <f>'Income Statement'!C2</f>
        <v>9714000000</v>
      </c>
      <c r="F25" s="11">
        <f>'Income Statement'!D2</f>
        <v>11716000000</v>
      </c>
      <c r="G25" s="11">
        <f>'Income Statement'!E2</f>
        <v>10918000000</v>
      </c>
      <c r="H25" s="11">
        <f>'Income Statement'!F2</f>
        <v>16675000000</v>
      </c>
      <c r="I25" s="85">
        <f>'Income Statement'!G2</f>
        <v>26914000000</v>
      </c>
      <c r="J25" s="131">
        <f>'Analyst Estimates'!F17*1000000</f>
        <v>33600729000</v>
      </c>
      <c r="K25" s="59">
        <f>'Analyst Estimates'!G17*1000000</f>
        <v>38939130000</v>
      </c>
      <c r="L25" s="59">
        <f>'Analyst Estimates'!H17*1000000</f>
        <v>45376514000</v>
      </c>
      <c r="O25" s="1"/>
      <c r="P25" s="1"/>
      <c r="Q25" s="1"/>
      <c r="R25" s="1"/>
      <c r="S25" s="1"/>
      <c r="T25" s="1"/>
    </row>
    <row r="26" spans="2:24" s="23" customFormat="1" ht="19" hidden="1" outlineLevel="1" x14ac:dyDescent="0.25">
      <c r="B26" s="10" t="s">
        <v>6</v>
      </c>
      <c r="E26" s="24"/>
      <c r="F26" s="25">
        <f>F25/E25-1</f>
        <v>0.20609429689108505</v>
      </c>
      <c r="G26" s="25">
        <f t="shared" ref="G26:H26" si="0">G25/F25-1</f>
        <v>-6.8111983612154314E-2</v>
      </c>
      <c r="H26" s="25">
        <f t="shared" si="0"/>
        <v>0.52729437625938824</v>
      </c>
      <c r="I26" s="86">
        <f>I25/H25-1</f>
        <v>0.61403298350824587</v>
      </c>
      <c r="J26" s="86">
        <v>0.24840000000000001</v>
      </c>
      <c r="K26" s="25">
        <f>K25/J25-1</f>
        <v>0.15887753506776603</v>
      </c>
      <c r="L26" s="25">
        <f>L25/K25-1</f>
        <v>0.16531915325278201</v>
      </c>
      <c r="O26" s="26"/>
      <c r="P26" s="26"/>
      <c r="R26" s="26"/>
      <c r="S26" s="26"/>
      <c r="T26" s="26"/>
    </row>
    <row r="27" spans="2:24" ht="19" hidden="1" outlineLevel="1" x14ac:dyDescent="0.25">
      <c r="B27" s="10"/>
      <c r="I27" s="62"/>
      <c r="J27" s="62"/>
      <c r="O27" s="1"/>
      <c r="P27" s="1"/>
      <c r="Q27" s="1"/>
      <c r="R27" s="1"/>
      <c r="S27" s="1"/>
      <c r="T27" s="1"/>
    </row>
    <row r="28" spans="2:24" ht="19" hidden="1" outlineLevel="1" x14ac:dyDescent="0.25">
      <c r="B28" s="9" t="s">
        <v>7</v>
      </c>
      <c r="E28" s="11">
        <f>'Income Statement'!C22</f>
        <v>3210000000</v>
      </c>
      <c r="F28" s="11">
        <f>'Income Statement'!D22</f>
        <v>3804000000</v>
      </c>
      <c r="G28" s="11">
        <f>'Income Statement'!E22</f>
        <v>2846000000</v>
      </c>
      <c r="H28" s="11">
        <f>'Income Statement'!F22</f>
        <v>4532000000</v>
      </c>
      <c r="I28" s="85">
        <f>'Income Statement'!G22</f>
        <v>10041000000</v>
      </c>
      <c r="J28" s="60">
        <f>'Analyst Estimates'!F54*1000000</f>
        <v>15974887000</v>
      </c>
      <c r="K28" s="20">
        <f>'Analyst Estimates'!G54*1000000</f>
        <v>18963356000</v>
      </c>
      <c r="L28" s="20">
        <f>'Analyst Estimates'!H54*1000000</f>
        <v>21470850000</v>
      </c>
      <c r="O28" s="1"/>
      <c r="P28" s="1"/>
      <c r="Q28" s="1"/>
      <c r="R28" s="1"/>
      <c r="S28" s="1"/>
      <c r="T28" s="1"/>
    </row>
    <row r="29" spans="2:24" s="23" customFormat="1" ht="19" hidden="1" outlineLevel="1" x14ac:dyDescent="0.25">
      <c r="B29" s="10" t="s">
        <v>8</v>
      </c>
      <c r="E29" s="25">
        <f t="shared" ref="E29:L29" si="1">E28/E25</f>
        <v>0.33045089561457691</v>
      </c>
      <c r="F29" s="25">
        <f t="shared" si="1"/>
        <v>0.32468419255718678</v>
      </c>
      <c r="G29" s="25">
        <f t="shared" si="1"/>
        <v>0.2606704524638212</v>
      </c>
      <c r="H29" s="25">
        <f t="shared" si="1"/>
        <v>0.27178410794602698</v>
      </c>
      <c r="I29" s="86">
        <f t="shared" si="1"/>
        <v>0.37307720888756779</v>
      </c>
      <c r="J29" s="86">
        <f t="shared" si="1"/>
        <v>0.47543275028348342</v>
      </c>
      <c r="K29" s="25">
        <f t="shared" si="1"/>
        <v>0.48699999203885652</v>
      </c>
      <c r="L29" s="25">
        <f t="shared" si="1"/>
        <v>0.47317098885119291</v>
      </c>
      <c r="O29" s="26"/>
      <c r="P29" s="26"/>
      <c r="Q29" s="26"/>
      <c r="R29" s="26"/>
      <c r="S29" s="26"/>
      <c r="T29" s="26"/>
    </row>
    <row r="30" spans="2:24" ht="19" hidden="1" outlineLevel="1" x14ac:dyDescent="0.25">
      <c r="B30" s="10"/>
      <c r="E30" s="19"/>
      <c r="I30" s="62"/>
      <c r="J30" s="62"/>
      <c r="O30" s="1"/>
      <c r="P30" s="1"/>
      <c r="Q30" s="1"/>
      <c r="R30" s="1"/>
      <c r="S30" s="1"/>
      <c r="T30" s="1"/>
    </row>
    <row r="31" spans="2:24" ht="19" hidden="1" outlineLevel="1" x14ac:dyDescent="0.25">
      <c r="B31" s="9" t="s">
        <v>9</v>
      </c>
      <c r="E31" s="11">
        <f>'Income Statement'!C27</f>
        <v>282000000</v>
      </c>
      <c r="F31" s="11">
        <f>'Income Statement'!D27</f>
        <v>123000000</v>
      </c>
      <c r="G31" s="11">
        <f>'Income Statement'!E27</f>
        <v>174000000</v>
      </c>
      <c r="H31" s="11">
        <f>'Income Statement'!F27</f>
        <v>77000000</v>
      </c>
      <c r="I31" s="85">
        <f>'Income Statement'!G27</f>
        <v>189000000</v>
      </c>
      <c r="J31" s="60">
        <f>'Analyst Estimates'!F71*1000000</f>
        <v>1876340000</v>
      </c>
      <c r="K31" s="20">
        <f>'Analyst Estimates'!G71*1000000</f>
        <v>2280480000</v>
      </c>
      <c r="L31" s="20">
        <f>'Analyst Estimates'!H71*1000000</f>
        <v>2634783000</v>
      </c>
      <c r="O31" s="1"/>
      <c r="P31" s="1"/>
      <c r="Q31" s="1"/>
      <c r="R31" s="1"/>
      <c r="S31" s="1"/>
      <c r="T31" s="1"/>
    </row>
    <row r="32" spans="2:24" s="23" customFormat="1" ht="19" hidden="1" outlineLevel="1" x14ac:dyDescent="0.25">
      <c r="B32" s="10" t="s">
        <v>10</v>
      </c>
      <c r="E32" s="25">
        <f t="shared" ref="E32:J32" si="2">E31/E28</f>
        <v>8.7850467289719625E-2</v>
      </c>
      <c r="F32" s="25">
        <f t="shared" si="2"/>
        <v>3.2334384858044164E-2</v>
      </c>
      <c r="G32" s="25">
        <f t="shared" si="2"/>
        <v>6.1138439915671118E-2</v>
      </c>
      <c r="H32" s="25">
        <f t="shared" si="2"/>
        <v>1.6990291262135922E-2</v>
      </c>
      <c r="I32" s="86">
        <f t="shared" si="2"/>
        <v>1.8822826411711981E-2</v>
      </c>
      <c r="J32" s="86">
        <f t="shared" si="2"/>
        <v>0.11745560391131406</v>
      </c>
      <c r="K32" s="25">
        <f t="shared" ref="K32" si="3">K31/K28</f>
        <v>0.12025719498173214</v>
      </c>
      <c r="L32" s="25">
        <f t="shared" ref="L32" si="4">L31/L28</f>
        <v>0.12271442444057874</v>
      </c>
      <c r="O32" s="26"/>
      <c r="P32" s="26"/>
      <c r="Q32" s="26"/>
      <c r="R32" s="26"/>
      <c r="S32" s="26"/>
      <c r="T32" s="26"/>
    </row>
    <row r="33" spans="2:20" collapsed="1" x14ac:dyDescent="0.2">
      <c r="I33" s="62"/>
      <c r="J33" s="62"/>
      <c r="K33" s="25"/>
      <c r="O33" s="1"/>
      <c r="P33" s="1"/>
      <c r="Q33" s="1"/>
      <c r="R33" s="1"/>
      <c r="S33" s="1"/>
      <c r="T33" s="1"/>
    </row>
    <row r="34" spans="2:20" x14ac:dyDescent="0.2">
      <c r="I34" s="62"/>
      <c r="J34" s="62">
        <v>1</v>
      </c>
      <c r="K34" s="62">
        <v>2</v>
      </c>
      <c r="L34" s="62">
        <v>3</v>
      </c>
      <c r="M34" s="62">
        <v>4</v>
      </c>
      <c r="N34" s="62">
        <v>5</v>
      </c>
      <c r="O34" s="1"/>
      <c r="P34" s="1"/>
      <c r="Q34" s="1"/>
      <c r="R34" s="1"/>
      <c r="S34" s="1"/>
      <c r="T34" s="1"/>
    </row>
    <row r="35" spans="2:20" ht="19" x14ac:dyDescent="0.25">
      <c r="B35" s="5" t="s">
        <v>175</v>
      </c>
      <c r="C35" s="6"/>
      <c r="D35" s="6"/>
      <c r="E35" s="7">
        <v>2018</v>
      </c>
      <c r="F35" s="7">
        <f>E35+1</f>
        <v>2019</v>
      </c>
      <c r="G35" s="7">
        <f t="shared" ref="G35:N35" si="5">F35+1</f>
        <v>2020</v>
      </c>
      <c r="H35" s="7">
        <f t="shared" si="5"/>
        <v>2021</v>
      </c>
      <c r="I35" s="7">
        <f t="shared" si="5"/>
        <v>2022</v>
      </c>
      <c r="J35" s="84">
        <f t="shared" si="5"/>
        <v>2023</v>
      </c>
      <c r="K35" s="7">
        <f t="shared" si="5"/>
        <v>2024</v>
      </c>
      <c r="L35" s="7">
        <f t="shared" si="5"/>
        <v>2025</v>
      </c>
      <c r="M35" s="7">
        <f t="shared" si="5"/>
        <v>2026</v>
      </c>
      <c r="N35" s="7">
        <f t="shared" si="5"/>
        <v>2027</v>
      </c>
      <c r="O35" s="1"/>
      <c r="P35" s="1"/>
      <c r="Q35" s="1"/>
      <c r="R35" s="1"/>
      <c r="S35" s="1"/>
      <c r="T35" s="1"/>
    </row>
    <row r="36" spans="2:20" ht="19" hidden="1" outlineLevel="1" x14ac:dyDescent="0.25">
      <c r="B36" s="9" t="s">
        <v>5</v>
      </c>
      <c r="E36" s="67">
        <f>6910*1/12 + 11/12*E25</f>
        <v>8904500575.833334</v>
      </c>
      <c r="F36" s="67">
        <f t="shared" ref="F36:L36" si="6">1/12*E25+11/12*F25</f>
        <v>11549166666.666666</v>
      </c>
      <c r="G36" s="67">
        <f t="shared" si="6"/>
        <v>10984500000</v>
      </c>
      <c r="H36" s="67">
        <f t="shared" si="6"/>
        <v>16195250000</v>
      </c>
      <c r="I36" s="87">
        <f t="shared" si="6"/>
        <v>26060749999.999996</v>
      </c>
      <c r="J36" s="87">
        <f t="shared" si="6"/>
        <v>33043501583.333332</v>
      </c>
      <c r="K36" s="67">
        <f t="shared" si="6"/>
        <v>38494263250</v>
      </c>
      <c r="L36" s="67">
        <f t="shared" si="6"/>
        <v>44840065333.333328</v>
      </c>
      <c r="O36" s="1"/>
      <c r="P36" s="1"/>
      <c r="Q36" s="1"/>
      <c r="R36" s="1"/>
      <c r="S36" s="1"/>
      <c r="T36" s="1"/>
    </row>
    <row r="37" spans="2:20" ht="19" hidden="1" outlineLevel="1" x14ac:dyDescent="0.25">
      <c r="B37" s="10" t="s">
        <v>6</v>
      </c>
      <c r="C37" s="23"/>
      <c r="D37" s="23"/>
      <c r="E37" s="24"/>
      <c r="F37" s="25">
        <f>F36/E36-1</f>
        <v>0.29700330392598451</v>
      </c>
      <c r="G37" s="25">
        <f t="shared" ref="G37:L37" si="7">G36/F36-1</f>
        <v>-4.8892416480265433E-2</v>
      </c>
      <c r="H37" s="25">
        <f t="shared" si="7"/>
        <v>0.47437298010833451</v>
      </c>
      <c r="I37" s="86">
        <f t="shared" si="7"/>
        <v>0.60916009323721432</v>
      </c>
      <c r="J37" s="86">
        <f t="shared" si="7"/>
        <v>0.26794131340553662</v>
      </c>
      <c r="K37" s="25">
        <f t="shared" si="7"/>
        <v>0.16495714453627852</v>
      </c>
      <c r="L37" s="25">
        <f t="shared" si="7"/>
        <v>0.16485059194718654</v>
      </c>
      <c r="M37" s="23"/>
      <c r="N37" s="23"/>
      <c r="O37" s="1"/>
      <c r="P37" s="1"/>
      <c r="Q37" s="1"/>
      <c r="R37" s="1"/>
      <c r="S37" s="1"/>
      <c r="T37" s="1"/>
    </row>
    <row r="38" spans="2:20" ht="19" hidden="1" outlineLevel="1" x14ac:dyDescent="0.25">
      <c r="B38" s="10"/>
      <c r="E38" s="68"/>
      <c r="F38" s="68"/>
      <c r="G38" s="68"/>
      <c r="H38" s="68"/>
      <c r="I38" s="88"/>
      <c r="J38" s="88"/>
      <c r="K38" s="68"/>
      <c r="L38" s="68"/>
      <c r="O38" s="1"/>
      <c r="P38" s="1"/>
      <c r="Q38" s="1"/>
      <c r="R38" s="1"/>
      <c r="S38" s="1"/>
      <c r="T38" s="1"/>
    </row>
    <row r="39" spans="2:20" ht="19" hidden="1" outlineLevel="1" x14ac:dyDescent="0.25">
      <c r="B39" s="9" t="s">
        <v>7</v>
      </c>
      <c r="E39" s="67">
        <f>6910*1/12 + 11/12*E28</f>
        <v>2942500575.8333335</v>
      </c>
      <c r="F39" s="67">
        <f t="shared" ref="F39:L39" si="8">1/12*E28+11/12*F28</f>
        <v>3754500000</v>
      </c>
      <c r="G39" s="67">
        <f t="shared" si="8"/>
        <v>2925833333.333333</v>
      </c>
      <c r="H39" s="67">
        <f t="shared" si="8"/>
        <v>4391500000</v>
      </c>
      <c r="I39" s="87">
        <f t="shared" si="8"/>
        <v>9581916666.666666</v>
      </c>
      <c r="J39" s="87">
        <f t="shared" si="8"/>
        <v>15480396416.666666</v>
      </c>
      <c r="K39" s="67">
        <f t="shared" si="8"/>
        <v>18714316916.666664</v>
      </c>
      <c r="L39" s="67">
        <f t="shared" si="8"/>
        <v>21261892166.666668</v>
      </c>
      <c r="O39" s="1"/>
      <c r="P39" s="1"/>
      <c r="Q39" s="1"/>
      <c r="R39" s="1"/>
      <c r="S39" s="1"/>
      <c r="T39" s="1"/>
    </row>
    <row r="40" spans="2:20" ht="19" hidden="1" outlineLevel="1" x14ac:dyDescent="0.25">
      <c r="B40" s="10" t="s">
        <v>8</v>
      </c>
      <c r="C40" s="23"/>
      <c r="D40" s="23"/>
      <c r="E40" s="25">
        <f>E39/E36</f>
        <v>0.33045093891275956</v>
      </c>
      <c r="F40" s="25">
        <f t="shared" ref="F40:L40" si="9">F39/F36</f>
        <v>0.32508839021574432</v>
      </c>
      <c r="G40" s="25">
        <f t="shared" si="9"/>
        <v>0.26636017418483621</v>
      </c>
      <c r="H40" s="25">
        <f t="shared" si="9"/>
        <v>0.27115975363146599</v>
      </c>
      <c r="I40" s="86">
        <f t="shared" si="9"/>
        <v>0.36767616690489213</v>
      </c>
      <c r="J40" s="86">
        <f t="shared" si="9"/>
        <v>0.46848535036839911</v>
      </c>
      <c r="K40" s="25">
        <f t="shared" si="9"/>
        <v>0.48615859446710319</v>
      </c>
      <c r="L40" s="25">
        <f t="shared" si="9"/>
        <v>0.47417174815891594</v>
      </c>
      <c r="M40" s="23"/>
      <c r="N40" s="23"/>
      <c r="O40" s="1"/>
      <c r="P40" s="1"/>
      <c r="Q40" s="1"/>
      <c r="R40" s="1"/>
      <c r="S40" s="1"/>
      <c r="T40" s="1"/>
    </row>
    <row r="41" spans="2:20" ht="19" hidden="1" outlineLevel="1" x14ac:dyDescent="0.25">
      <c r="B41" s="10"/>
      <c r="E41" s="19"/>
      <c r="F41" s="68"/>
      <c r="G41" s="68"/>
      <c r="H41" s="68"/>
      <c r="I41" s="88"/>
      <c r="J41" s="88"/>
      <c r="K41" s="68"/>
      <c r="L41" s="68"/>
      <c r="O41" s="1"/>
      <c r="P41" s="1"/>
      <c r="Q41" s="1"/>
      <c r="R41" s="1"/>
      <c r="S41" s="1"/>
      <c r="T41" s="1"/>
    </row>
    <row r="42" spans="2:20" ht="19" hidden="1" outlineLevel="1" x14ac:dyDescent="0.25">
      <c r="B42" s="9" t="s">
        <v>9</v>
      </c>
      <c r="E42" s="67">
        <f>6910*1/12 + 11/12*E31</f>
        <v>258500575.83333334</v>
      </c>
      <c r="F42" s="67">
        <f t="shared" ref="F42:L42" si="10">1/12*E31+11/12*F31</f>
        <v>136250000</v>
      </c>
      <c r="G42" s="67">
        <f t="shared" si="10"/>
        <v>169750000</v>
      </c>
      <c r="H42" s="67">
        <f t="shared" si="10"/>
        <v>85083333.333333328</v>
      </c>
      <c r="I42" s="87">
        <f t="shared" si="10"/>
        <v>179666666.66666666</v>
      </c>
      <c r="J42" s="87">
        <f t="shared" si="10"/>
        <v>1735728333.3333333</v>
      </c>
      <c r="K42" s="67">
        <f t="shared" si="10"/>
        <v>2246801666.6666665</v>
      </c>
      <c r="L42" s="67">
        <f t="shared" si="10"/>
        <v>2605257750</v>
      </c>
      <c r="O42" s="1"/>
      <c r="P42" s="1"/>
      <c r="Q42" s="1"/>
      <c r="R42" s="1"/>
      <c r="S42" s="1"/>
      <c r="T42" s="1"/>
    </row>
    <row r="43" spans="2:20" ht="19" hidden="1" outlineLevel="1" x14ac:dyDescent="0.25">
      <c r="B43" s="10" t="s">
        <v>10</v>
      </c>
      <c r="C43" s="23"/>
      <c r="D43" s="23"/>
      <c r="E43" s="25">
        <f>E42/E39</f>
        <v>8.7850645793034199E-2</v>
      </c>
      <c r="F43" s="25">
        <f t="shared" ref="F43:L43" si="11">F42/F39</f>
        <v>3.6289785590624582E-2</v>
      </c>
      <c r="G43" s="25">
        <f t="shared" si="11"/>
        <v>5.8017658786670472E-2</v>
      </c>
      <c r="H43" s="25">
        <f t="shared" si="11"/>
        <v>1.9374549318759725E-2</v>
      </c>
      <c r="I43" s="86">
        <f t="shared" si="11"/>
        <v>1.8750597914474313E-2</v>
      </c>
      <c r="J43" s="86">
        <f t="shared" si="11"/>
        <v>0.11212428200253291</v>
      </c>
      <c r="K43" s="25">
        <f t="shared" si="11"/>
        <v>0.12005790415282012</v>
      </c>
      <c r="L43" s="25">
        <f t="shared" si="11"/>
        <v>0.12253179207090481</v>
      </c>
      <c r="M43" s="23"/>
      <c r="N43" s="23"/>
      <c r="O43" s="1"/>
      <c r="P43" s="1"/>
      <c r="Q43" s="1"/>
      <c r="R43" s="1"/>
      <c r="S43" s="1"/>
      <c r="T43" s="1"/>
    </row>
    <row r="44" spans="2:20" hidden="1" outlineLevel="1" x14ac:dyDescent="0.2">
      <c r="I44" s="62"/>
      <c r="J44" s="62"/>
      <c r="K44" s="25"/>
      <c r="O44" s="1"/>
      <c r="P44" s="1"/>
      <c r="Q44" s="1"/>
      <c r="R44" s="1"/>
      <c r="S44" s="1"/>
      <c r="T44" s="1"/>
    </row>
    <row r="45" spans="2:20" collapsed="1" x14ac:dyDescent="0.2">
      <c r="I45" s="62"/>
      <c r="J45" s="62"/>
      <c r="O45" s="1"/>
      <c r="P45" s="1"/>
      <c r="Q45" s="1"/>
      <c r="R45" s="1"/>
      <c r="S45" s="1"/>
      <c r="T45" s="1"/>
    </row>
    <row r="46" spans="2:20" x14ac:dyDescent="0.2">
      <c r="I46" s="62"/>
      <c r="J46" s="62">
        <v>1</v>
      </c>
      <c r="K46">
        <v>2</v>
      </c>
      <c r="L46">
        <v>3</v>
      </c>
      <c r="M46">
        <v>4</v>
      </c>
      <c r="N46">
        <v>5</v>
      </c>
      <c r="O46" s="1"/>
      <c r="P46" s="1"/>
      <c r="Q46" s="1"/>
      <c r="R46" s="1"/>
      <c r="S46" s="1"/>
      <c r="T46" s="1"/>
    </row>
    <row r="47" spans="2:20" ht="19" x14ac:dyDescent="0.25">
      <c r="B47" s="5" t="s">
        <v>174</v>
      </c>
      <c r="C47" s="6"/>
      <c r="D47" s="6"/>
      <c r="E47" s="7">
        <v>2018</v>
      </c>
      <c r="F47" s="7">
        <v>2019</v>
      </c>
      <c r="G47" s="7">
        <v>2020</v>
      </c>
      <c r="H47" s="7">
        <v>2021</v>
      </c>
      <c r="I47" s="84">
        <v>2022</v>
      </c>
      <c r="J47" s="84">
        <v>2023</v>
      </c>
      <c r="K47" s="7">
        <v>2024</v>
      </c>
      <c r="L47" s="7">
        <v>2025</v>
      </c>
      <c r="M47" s="7">
        <v>2026</v>
      </c>
      <c r="N47" s="7">
        <v>2027</v>
      </c>
      <c r="O47" s="1"/>
      <c r="P47" s="1"/>
      <c r="Q47" s="1"/>
      <c r="R47" s="1"/>
      <c r="S47" s="1"/>
      <c r="T47" s="1"/>
    </row>
    <row r="48" spans="2:20" ht="19" hidden="1" outlineLevel="1" x14ac:dyDescent="0.25">
      <c r="B48" s="9" t="s">
        <v>11</v>
      </c>
      <c r="E48" s="20">
        <f>'Income Statement'!C17</f>
        <v>199000000</v>
      </c>
      <c r="F48" s="20">
        <f>'Income Statement'!D17</f>
        <v>262000000</v>
      </c>
      <c r="G48" s="20">
        <f>'Income Statement'!E17</f>
        <v>381000000</v>
      </c>
      <c r="H48" s="20">
        <f>'Income Statement'!F17</f>
        <v>1098000000</v>
      </c>
      <c r="I48" s="60">
        <f>'Income Statement'!G17</f>
        <v>1174000000</v>
      </c>
      <c r="J48" s="60">
        <f>1289*1000000</f>
        <v>1289000000</v>
      </c>
      <c r="K48" s="20">
        <f>1317*1000000</f>
        <v>1317000000</v>
      </c>
      <c r="L48" s="20">
        <f>2598*1000000</f>
        <v>2598000000</v>
      </c>
      <c r="O48" s="1"/>
      <c r="P48" s="1"/>
      <c r="Q48" s="1"/>
      <c r="R48" s="1"/>
      <c r="S48" s="1"/>
      <c r="T48" s="1"/>
    </row>
    <row r="49" spans="2:20" s="23" customFormat="1" ht="19" hidden="1" outlineLevel="1" x14ac:dyDescent="0.25">
      <c r="B49" s="10" t="s">
        <v>8</v>
      </c>
      <c r="E49" s="27">
        <f t="shared" ref="E49:L49" si="12">E48/E25</f>
        <v>2.0485896644018942E-2</v>
      </c>
      <c r="F49" s="27">
        <f t="shared" si="12"/>
        <v>2.2362581085694777E-2</v>
      </c>
      <c r="G49" s="27">
        <f t="shared" si="12"/>
        <v>3.4896501190694269E-2</v>
      </c>
      <c r="H49" s="27">
        <f t="shared" si="12"/>
        <v>6.5847076461769113E-2</v>
      </c>
      <c r="I49" s="89">
        <f t="shared" si="12"/>
        <v>4.362042059894479E-2</v>
      </c>
      <c r="J49" s="89">
        <f t="shared" si="12"/>
        <v>3.8362262913998087E-2</v>
      </c>
      <c r="K49" s="27">
        <f t="shared" si="12"/>
        <v>3.3822019136020759E-2</v>
      </c>
      <c r="L49" s="27">
        <f t="shared" si="12"/>
        <v>5.7254287978137766E-2</v>
      </c>
      <c r="O49" s="26"/>
      <c r="P49" s="26"/>
      <c r="Q49" s="26"/>
      <c r="R49" s="26"/>
      <c r="S49" s="26"/>
      <c r="T49" s="26"/>
    </row>
    <row r="50" spans="2:20" s="23" customFormat="1" ht="19" hidden="1" outlineLevel="1" x14ac:dyDescent="0.25">
      <c r="B50" s="10" t="s">
        <v>12</v>
      </c>
      <c r="E50" s="25">
        <f t="shared" ref="E50:L50" si="13">E48/E52</f>
        <v>0.33558178752107926</v>
      </c>
      <c r="F50" s="25">
        <f t="shared" si="13"/>
        <v>0.43666666666666665</v>
      </c>
      <c r="G50" s="25">
        <f t="shared" si="13"/>
        <v>0.77914110429447858</v>
      </c>
      <c r="H50" s="25">
        <f t="shared" si="13"/>
        <v>0.97340425531914898</v>
      </c>
      <c r="I50" s="86">
        <f t="shared" si="13"/>
        <v>1.2028688524590163</v>
      </c>
      <c r="J50" s="86">
        <f t="shared" si="13"/>
        <v>0.83646982478909804</v>
      </c>
      <c r="K50" s="25">
        <f t="shared" si="13"/>
        <v>0.80649112063686468</v>
      </c>
      <c r="L50" s="25">
        <f t="shared" si="13"/>
        <v>1.497406340057637</v>
      </c>
      <c r="O50" s="26"/>
      <c r="P50" s="26"/>
      <c r="Q50" s="26"/>
      <c r="R50" s="26"/>
      <c r="S50" s="26"/>
      <c r="T50" s="26"/>
    </row>
    <row r="51" spans="2:20" ht="19" hidden="1" outlineLevel="1" x14ac:dyDescent="0.25">
      <c r="B51" s="10"/>
      <c r="I51" s="62"/>
      <c r="J51" s="62"/>
      <c r="O51" s="1"/>
      <c r="P51" s="1"/>
      <c r="Q51" s="1"/>
      <c r="R51" s="1"/>
      <c r="S51" s="1"/>
      <c r="T51" s="1"/>
    </row>
    <row r="52" spans="2:20" ht="19" hidden="1" outlineLevel="1" x14ac:dyDescent="0.25">
      <c r="B52" s="9" t="s">
        <v>13</v>
      </c>
      <c r="E52" s="20">
        <f>ABS('Cash Flow Statement'!C17)</f>
        <v>593000000</v>
      </c>
      <c r="F52" s="20">
        <f>ABS('Cash Flow Statement'!D17)</f>
        <v>600000000</v>
      </c>
      <c r="G52" s="20">
        <f>ABS('Cash Flow Statement'!E17)</f>
        <v>489000000</v>
      </c>
      <c r="H52" s="20">
        <f>ABS('Cash Flow Statement'!F17)</f>
        <v>1128000000</v>
      </c>
      <c r="I52" s="60">
        <f>ABS('Cash Flow Statement'!G17)</f>
        <v>976000000</v>
      </c>
      <c r="J52" s="60">
        <f>1541*1000000</f>
        <v>1541000000</v>
      </c>
      <c r="K52" s="20">
        <f>1633*1000000</f>
        <v>1633000000</v>
      </c>
      <c r="L52" s="20">
        <f>1735*1000000</f>
        <v>1735000000</v>
      </c>
      <c r="O52" s="1"/>
      <c r="P52" s="1"/>
      <c r="Q52" s="1"/>
      <c r="R52" s="1"/>
      <c r="S52" s="1"/>
      <c r="T52" s="1"/>
    </row>
    <row r="53" spans="2:20" s="23" customFormat="1" ht="19" hidden="1" outlineLevel="1" x14ac:dyDescent="0.25">
      <c r="B53" s="10" t="s">
        <v>8</v>
      </c>
      <c r="E53" s="25">
        <f t="shared" ref="E53:L53" si="14">E52/E25</f>
        <v>6.1045913115091617E-2</v>
      </c>
      <c r="F53" s="25">
        <f t="shared" si="14"/>
        <v>5.1212017753499491E-2</v>
      </c>
      <c r="G53" s="25">
        <f t="shared" si="14"/>
        <v>4.478842278805642E-2</v>
      </c>
      <c r="H53" s="25">
        <f t="shared" si="14"/>
        <v>6.7646176911544231E-2</v>
      </c>
      <c r="I53" s="86">
        <f t="shared" si="14"/>
        <v>3.6263654603552055E-2</v>
      </c>
      <c r="J53" s="86">
        <f t="shared" si="14"/>
        <v>4.5862100194314234E-2</v>
      </c>
      <c r="K53" s="25">
        <f t="shared" si="14"/>
        <v>4.1937249240031817E-2</v>
      </c>
      <c r="L53" s="25">
        <f t="shared" si="14"/>
        <v>3.8235638815269063E-2</v>
      </c>
      <c r="O53" s="26"/>
      <c r="P53" s="26"/>
      <c r="Q53" s="26"/>
      <c r="R53" s="26"/>
      <c r="S53" s="26"/>
      <c r="T53" s="26"/>
    </row>
    <row r="54" spans="2:20" ht="19" hidden="1" outlineLevel="1" x14ac:dyDescent="0.25">
      <c r="B54" s="10"/>
      <c r="I54" s="62"/>
      <c r="J54" s="62"/>
      <c r="O54" s="1"/>
      <c r="P54" s="1"/>
      <c r="Q54" s="1"/>
      <c r="R54" s="1"/>
      <c r="S54" s="1"/>
      <c r="T54" s="1"/>
    </row>
    <row r="55" spans="2:20" ht="19" hidden="1" outlineLevel="1" x14ac:dyDescent="0.25">
      <c r="B55" s="9" t="s">
        <v>14</v>
      </c>
      <c r="E55" s="20">
        <f>'Cash Flow Statement'!C8</f>
        <v>-185000000</v>
      </c>
      <c r="F55" s="20">
        <f>'Cash Flow Statement'!D8</f>
        <v>857000000</v>
      </c>
      <c r="G55" s="20">
        <f>'Cash Flow Statement'!E8</f>
        <v>-717000000</v>
      </c>
      <c r="H55" s="20">
        <f>'Cash Flow Statement'!F8</f>
        <v>703000000</v>
      </c>
      <c r="I55" s="60">
        <f>'Cash Flow Statement'!G8</f>
        <v>3363000000</v>
      </c>
      <c r="J55" s="132"/>
      <c r="O55" s="1"/>
      <c r="P55" s="1"/>
      <c r="Q55" s="1"/>
      <c r="R55" s="1"/>
      <c r="S55" s="1"/>
      <c r="T55" s="1"/>
    </row>
    <row r="56" spans="2:20" s="23" customFormat="1" ht="19" hidden="1" outlineLevel="1" x14ac:dyDescent="0.25">
      <c r="B56" s="10" t="s">
        <v>8</v>
      </c>
      <c r="E56" s="25">
        <f>E55/E25</f>
        <v>-1.9044677784640723E-2</v>
      </c>
      <c r="F56" s="25">
        <f>F55/F25</f>
        <v>7.3147832024581763E-2</v>
      </c>
      <c r="G56" s="25">
        <f>G55/G25</f>
        <v>-6.5671368382487633E-2</v>
      </c>
      <c r="H56" s="25">
        <f>H55/H25</f>
        <v>4.2158920539730138E-2</v>
      </c>
      <c r="I56" s="86">
        <f>I55/I25</f>
        <v>0.12495355577023111</v>
      </c>
      <c r="J56" s="133"/>
      <c r="O56" s="26"/>
      <c r="P56" s="26"/>
      <c r="Q56" s="26"/>
      <c r="R56" s="26"/>
      <c r="S56" s="26"/>
      <c r="T56" s="26"/>
    </row>
    <row r="57" spans="2:20" s="23" customFormat="1" ht="19" hidden="1" outlineLevel="1" x14ac:dyDescent="0.25">
      <c r="B57" s="10" t="s">
        <v>15</v>
      </c>
      <c r="F57" s="25">
        <f>F55/(F25-E25)</f>
        <v>0.42807192807192807</v>
      </c>
      <c r="G57" s="25">
        <f>G55/(G25-F25)</f>
        <v>0.89849624060150379</v>
      </c>
      <c r="H57" s="25">
        <f>H55/(H25-G25)</f>
        <v>0.12211221122112212</v>
      </c>
      <c r="I57" s="86">
        <f>I55/(I25-H25)</f>
        <v>0.32845004394960448</v>
      </c>
      <c r="J57" s="133"/>
      <c r="O57" s="26"/>
      <c r="P57" s="26"/>
      <c r="Q57" s="26"/>
      <c r="R57" s="26"/>
      <c r="S57" s="26"/>
      <c r="T57" s="26"/>
    </row>
    <row r="58" spans="2:20" s="23" customFormat="1" ht="19" collapsed="1" x14ac:dyDescent="0.25">
      <c r="B58" s="10"/>
      <c r="F58" s="25"/>
      <c r="G58" s="25"/>
      <c r="H58" s="25"/>
      <c r="I58" s="86"/>
      <c r="J58" s="133"/>
      <c r="O58" s="26"/>
      <c r="P58" s="26"/>
      <c r="Q58" s="26"/>
      <c r="R58" s="26"/>
      <c r="S58" s="26"/>
      <c r="T58" s="26"/>
    </row>
    <row r="59" spans="2:20" s="23" customFormat="1" ht="19" x14ac:dyDescent="0.25">
      <c r="B59" s="10"/>
      <c r="F59" s="25"/>
      <c r="G59" s="25"/>
      <c r="H59" s="25"/>
      <c r="I59" s="86"/>
      <c r="J59" s="88">
        <v>1</v>
      </c>
      <c r="K59" s="68">
        <v>2</v>
      </c>
      <c r="L59" s="68">
        <v>3</v>
      </c>
      <c r="M59" s="68">
        <v>4</v>
      </c>
      <c r="N59" s="68">
        <v>5</v>
      </c>
      <c r="O59" s="26"/>
      <c r="P59" s="26"/>
      <c r="Q59" s="26"/>
      <c r="R59" s="26"/>
      <c r="S59" s="26"/>
      <c r="T59" s="26"/>
    </row>
    <row r="60" spans="2:20" s="23" customFormat="1" ht="19" x14ac:dyDescent="0.25">
      <c r="B60" s="5" t="s">
        <v>176</v>
      </c>
      <c r="C60" s="6"/>
      <c r="D60" s="6"/>
      <c r="E60" s="7">
        <v>2018</v>
      </c>
      <c r="F60" s="7">
        <f>E60+1</f>
        <v>2019</v>
      </c>
      <c r="G60" s="7">
        <f t="shared" ref="G60:N60" si="15">F60+1</f>
        <v>2020</v>
      </c>
      <c r="H60" s="7">
        <f t="shared" si="15"/>
        <v>2021</v>
      </c>
      <c r="I60" s="7">
        <f t="shared" si="15"/>
        <v>2022</v>
      </c>
      <c r="J60" s="84">
        <f t="shared" si="15"/>
        <v>2023</v>
      </c>
      <c r="K60" s="7">
        <f t="shared" si="15"/>
        <v>2024</v>
      </c>
      <c r="L60" s="7">
        <f t="shared" si="15"/>
        <v>2025</v>
      </c>
      <c r="M60" s="7">
        <f t="shared" si="15"/>
        <v>2026</v>
      </c>
      <c r="N60" s="7">
        <f t="shared" si="15"/>
        <v>2027</v>
      </c>
      <c r="O60" s="26"/>
      <c r="P60" s="26"/>
      <c r="Q60" s="26"/>
      <c r="R60" s="26"/>
      <c r="S60" s="26"/>
      <c r="T60" s="26"/>
    </row>
    <row r="61" spans="2:20" s="23" customFormat="1" ht="19" hidden="1" outlineLevel="1" x14ac:dyDescent="0.25">
      <c r="B61" s="9" t="s">
        <v>11</v>
      </c>
      <c r="C61"/>
      <c r="D61"/>
      <c r="E61" s="67">
        <v>198000000</v>
      </c>
      <c r="F61" s="67">
        <f t="shared" ref="F61:L61" si="16">1/12*E48+11/12*F48</f>
        <v>256750000</v>
      </c>
      <c r="G61" s="67">
        <f t="shared" si="16"/>
        <v>371083333.33333331</v>
      </c>
      <c r="H61" s="67">
        <f t="shared" si="16"/>
        <v>1038250000</v>
      </c>
      <c r="I61" s="87">
        <f t="shared" si="16"/>
        <v>1167666666.6666665</v>
      </c>
      <c r="J61" s="87">
        <f t="shared" si="16"/>
        <v>1279416666.6666665</v>
      </c>
      <c r="K61" s="67">
        <f t="shared" si="16"/>
        <v>1314666666.6666667</v>
      </c>
      <c r="L61" s="67">
        <f t="shared" si="16"/>
        <v>2491250000</v>
      </c>
      <c r="M61"/>
      <c r="N61"/>
      <c r="O61" s="26"/>
      <c r="P61" s="26"/>
      <c r="Q61" s="26"/>
      <c r="R61" s="26"/>
      <c r="S61" s="26"/>
      <c r="T61" s="26"/>
    </row>
    <row r="62" spans="2:20" s="23" customFormat="1" ht="19" hidden="1" outlineLevel="1" x14ac:dyDescent="0.25">
      <c r="B62" s="10" t="s">
        <v>8</v>
      </c>
      <c r="E62" s="69">
        <f t="shared" ref="E62:L62" si="17">E61/E36</f>
        <v>2.2235946678174034E-2</v>
      </c>
      <c r="F62" s="69">
        <f t="shared" si="17"/>
        <v>2.2231041200663829E-2</v>
      </c>
      <c r="G62" s="69">
        <f t="shared" si="17"/>
        <v>3.3782451029480937E-2</v>
      </c>
      <c r="H62" s="69">
        <f t="shared" si="17"/>
        <v>6.4108303360553245E-2</v>
      </c>
      <c r="I62" s="90">
        <f t="shared" si="17"/>
        <v>4.4805566480882811E-2</v>
      </c>
      <c r="J62" s="90">
        <f t="shared" si="17"/>
        <v>3.8719161268065669E-2</v>
      </c>
      <c r="K62" s="69">
        <f t="shared" si="17"/>
        <v>3.4152275057937803E-2</v>
      </c>
      <c r="L62" s="69">
        <f t="shared" si="17"/>
        <v>5.5558572037763022E-2</v>
      </c>
      <c r="O62" s="26"/>
      <c r="P62" s="26"/>
      <c r="Q62" s="26"/>
      <c r="R62" s="26"/>
      <c r="S62" s="26"/>
      <c r="T62" s="26"/>
    </row>
    <row r="63" spans="2:20" s="23" customFormat="1" ht="19" hidden="1" outlineLevel="1" x14ac:dyDescent="0.25">
      <c r="B63" s="10" t="s">
        <v>12</v>
      </c>
      <c r="E63" s="25">
        <f>E61/E65</f>
        <v>0.35483870967741937</v>
      </c>
      <c r="F63" s="25">
        <f>F61/F65</f>
        <v>0.42833310162658145</v>
      </c>
      <c r="G63" s="25">
        <f t="shared" ref="G63:L63" si="18">G61/G65</f>
        <v>0.744773373473825</v>
      </c>
      <c r="H63" s="25">
        <f t="shared" si="18"/>
        <v>0.96603861363107701</v>
      </c>
      <c r="I63" s="86">
        <f t="shared" si="18"/>
        <v>1.1810519217801752</v>
      </c>
      <c r="J63" s="86">
        <f t="shared" si="18"/>
        <v>0.85641769398114576</v>
      </c>
      <c r="K63" s="25">
        <f t="shared" si="18"/>
        <v>0.80885972108285487</v>
      </c>
      <c r="L63" s="25">
        <f t="shared" si="18"/>
        <v>1.4429481610194037</v>
      </c>
      <c r="O63" s="26"/>
      <c r="P63" s="26"/>
      <c r="Q63" s="26"/>
      <c r="R63" s="26"/>
      <c r="S63" s="26"/>
      <c r="T63" s="26"/>
    </row>
    <row r="64" spans="2:20" s="23" customFormat="1" ht="19" hidden="1" outlineLevel="1" x14ac:dyDescent="0.25">
      <c r="B64" s="10"/>
      <c r="C64"/>
      <c r="D64"/>
      <c r="E64" s="68"/>
      <c r="F64" s="68"/>
      <c r="G64" s="68"/>
      <c r="H64" s="68"/>
      <c r="I64" s="88"/>
      <c r="J64" s="88"/>
      <c r="K64" s="68"/>
      <c r="L64" s="68"/>
      <c r="M64"/>
      <c r="N64"/>
      <c r="O64" s="26"/>
      <c r="P64" s="26"/>
      <c r="Q64" s="26"/>
      <c r="R64" s="26"/>
      <c r="S64" s="26"/>
      <c r="T64" s="26"/>
    </row>
    <row r="65" spans="1:33" s="23" customFormat="1" ht="19" hidden="1" outlineLevel="1" x14ac:dyDescent="0.25">
      <c r="B65" s="9" t="s">
        <v>13</v>
      </c>
      <c r="C65"/>
      <c r="D65"/>
      <c r="E65" s="67">
        <v>558000000</v>
      </c>
      <c r="F65" s="67">
        <f t="shared" ref="F65:L65" si="19">1/12*E52+11/12*F52</f>
        <v>599416666.66666663</v>
      </c>
      <c r="G65" s="67">
        <f t="shared" si="19"/>
        <v>498250000</v>
      </c>
      <c r="H65" s="67">
        <f t="shared" si="19"/>
        <v>1074750000</v>
      </c>
      <c r="I65" s="87">
        <f t="shared" si="19"/>
        <v>988666666.66666663</v>
      </c>
      <c r="J65" s="87">
        <f t="shared" si="19"/>
        <v>1493916666.6666665</v>
      </c>
      <c r="K65" s="67">
        <f t="shared" si="19"/>
        <v>1625333333.3333333</v>
      </c>
      <c r="L65" s="67">
        <f t="shared" si="19"/>
        <v>1726499999.9999998</v>
      </c>
      <c r="M65"/>
      <c r="N65"/>
      <c r="O65" s="26"/>
      <c r="P65" s="26"/>
      <c r="Q65" s="26"/>
      <c r="R65" s="26"/>
      <c r="S65" s="26"/>
      <c r="T65" s="26"/>
    </row>
    <row r="66" spans="1:33" s="23" customFormat="1" ht="19" hidden="1" outlineLevel="1" x14ac:dyDescent="0.25">
      <c r="B66" s="10" t="s">
        <v>8</v>
      </c>
      <c r="E66" s="25">
        <f t="shared" ref="E66:L66" si="20">E65/E36</f>
        <v>6.2664940638490457E-2</v>
      </c>
      <c r="F66" s="25">
        <f t="shared" si="20"/>
        <v>5.1901291579479036E-2</v>
      </c>
      <c r="G66" s="25">
        <f t="shared" si="20"/>
        <v>4.5359370021393786E-2</v>
      </c>
      <c r="H66" s="25">
        <f t="shared" si="20"/>
        <v>6.6362050601256536E-2</v>
      </c>
      <c r="I66" s="86">
        <f t="shared" si="20"/>
        <v>3.7936999766571063E-2</v>
      </c>
      <c r="J66" s="86">
        <f t="shared" si="20"/>
        <v>4.5210604054752378E-2</v>
      </c>
      <c r="K66" s="25">
        <f t="shared" si="20"/>
        <v>4.2222741679134056E-2</v>
      </c>
      <c r="L66" s="25">
        <f t="shared" si="20"/>
        <v>3.8503512141775352E-2</v>
      </c>
      <c r="O66" s="26"/>
      <c r="P66" s="26"/>
      <c r="Q66" s="26"/>
      <c r="R66" s="26"/>
      <c r="S66" s="26"/>
      <c r="T66" s="26"/>
    </row>
    <row r="67" spans="1:33" s="23" customFormat="1" ht="19" hidden="1" outlineLevel="1" x14ac:dyDescent="0.25">
      <c r="B67" s="10"/>
      <c r="C67"/>
      <c r="D67"/>
      <c r="E67"/>
      <c r="F67"/>
      <c r="G67"/>
      <c r="H67"/>
      <c r="I67" s="62"/>
      <c r="J67" s="62"/>
      <c r="K67"/>
      <c r="L67"/>
      <c r="M67"/>
      <c r="N67"/>
      <c r="O67" s="26"/>
      <c r="P67" s="26"/>
      <c r="Q67" s="26"/>
      <c r="R67" s="26"/>
      <c r="S67" s="26"/>
      <c r="T67" s="26"/>
    </row>
    <row r="68" spans="1:33" s="23" customFormat="1" ht="19" hidden="1" outlineLevel="1" x14ac:dyDescent="0.25">
      <c r="B68" s="9" t="s">
        <v>14</v>
      </c>
      <c r="C68"/>
      <c r="D68"/>
      <c r="E68" s="67">
        <v>-113000000</v>
      </c>
      <c r="F68" s="67">
        <f>1/12*E55+11/12*F55</f>
        <v>770166666.66666663</v>
      </c>
      <c r="G68" s="67">
        <f>1/12*F55+11/12*G55</f>
        <v>-585833333.33333337</v>
      </c>
      <c r="H68" s="67">
        <f>1/12*G55+11/12*H55</f>
        <v>584666666.66666663</v>
      </c>
      <c r="I68" s="87">
        <f>1/12*H55+11/12*I55</f>
        <v>3141333333.3333335</v>
      </c>
      <c r="J68" s="87"/>
      <c r="K68" s="20">
        <f>1/12*J55+11/12*K55</f>
        <v>0</v>
      </c>
      <c r="L68" s="20">
        <f>1/12*K55+11/12*L55</f>
        <v>0</v>
      </c>
      <c r="M68"/>
      <c r="N68"/>
      <c r="O68" s="26"/>
      <c r="P68" s="26"/>
      <c r="Q68" s="26"/>
      <c r="R68" s="26"/>
      <c r="S68" s="26"/>
      <c r="T68" s="26"/>
    </row>
    <row r="69" spans="1:33" s="23" customFormat="1" ht="19" hidden="1" outlineLevel="1" x14ac:dyDescent="0.25">
      <c r="B69" s="10" t="s">
        <v>8</v>
      </c>
      <c r="E69" s="25">
        <f>E68/E36</f>
        <v>-1.2690211993099323E-2</v>
      </c>
      <c r="F69" s="25">
        <f>F68/F36</f>
        <v>6.6685908074175626E-2</v>
      </c>
      <c r="G69" s="25">
        <f>G68/G36</f>
        <v>-5.3332726417527732E-2</v>
      </c>
      <c r="H69" s="25">
        <f>H68/H36</f>
        <v>3.6101120184416212E-2</v>
      </c>
      <c r="I69" s="86">
        <f>I68/I36</f>
        <v>0.1205388691167113</v>
      </c>
      <c r="J69" s="133"/>
      <c r="O69" s="26"/>
      <c r="P69" s="26"/>
      <c r="Q69" s="26"/>
      <c r="R69" s="26"/>
      <c r="S69" s="26"/>
      <c r="T69" s="26"/>
    </row>
    <row r="70" spans="1:33" s="23" customFormat="1" ht="19" hidden="1" outlineLevel="1" x14ac:dyDescent="0.25">
      <c r="B70" s="10" t="s">
        <v>15</v>
      </c>
      <c r="F70" s="25">
        <f>F68/(F36-E36)</f>
        <v>0.29121508735493629</v>
      </c>
      <c r="G70" s="25">
        <f>G68/(G36-F36)</f>
        <v>1.0374852420306979</v>
      </c>
      <c r="H70" s="25">
        <f>H68/(H36-G36)</f>
        <v>0.11220393737305889</v>
      </c>
      <c r="I70" s="86">
        <f>I68/(I36-H36)</f>
        <v>0.31841602892233895</v>
      </c>
      <c r="J70" s="133"/>
      <c r="O70" s="26"/>
      <c r="P70" s="26"/>
      <c r="Q70" s="26"/>
      <c r="R70" s="26"/>
      <c r="S70" s="26"/>
      <c r="T70" s="26"/>
    </row>
    <row r="71" spans="1:33" s="23" customFormat="1" ht="19" collapsed="1" x14ac:dyDescent="0.25">
      <c r="B71" s="10"/>
      <c r="F71" s="25"/>
      <c r="G71" s="25"/>
      <c r="H71" s="25"/>
      <c r="I71" s="86"/>
      <c r="J71" s="133"/>
      <c r="O71" s="26"/>
      <c r="P71" s="26"/>
      <c r="Q71" s="26"/>
      <c r="R71" s="26"/>
      <c r="S71" s="26"/>
      <c r="T71" s="26"/>
    </row>
    <row r="72" spans="1:33" s="23" customFormat="1" ht="19" x14ac:dyDescent="0.25">
      <c r="B72" s="10"/>
      <c r="F72" s="25"/>
      <c r="G72" s="25"/>
      <c r="H72" s="25"/>
      <c r="I72" s="86"/>
      <c r="J72" s="133"/>
      <c r="O72" s="26"/>
      <c r="P72" s="26"/>
      <c r="Q72" s="26"/>
      <c r="R72" s="26"/>
      <c r="S72" s="26"/>
      <c r="T72" s="26"/>
    </row>
    <row r="73" spans="1:33" x14ac:dyDescent="0.2">
      <c r="I73" s="62"/>
      <c r="J73" s="62">
        <v>1</v>
      </c>
      <c r="K73">
        <v>2</v>
      </c>
      <c r="L73">
        <v>3</v>
      </c>
      <c r="M73">
        <v>4</v>
      </c>
      <c r="N73">
        <v>5</v>
      </c>
      <c r="O73">
        <v>6</v>
      </c>
      <c r="P73">
        <v>7</v>
      </c>
      <c r="Q73">
        <v>8</v>
      </c>
      <c r="R73">
        <v>9</v>
      </c>
      <c r="S73">
        <v>10</v>
      </c>
      <c r="T73" s="1"/>
    </row>
    <row r="74" spans="1:33" ht="19" x14ac:dyDescent="0.25">
      <c r="B74" s="5" t="s">
        <v>16</v>
      </c>
      <c r="C74" s="6"/>
      <c r="D74" s="6"/>
      <c r="E74" s="7">
        <v>2017</v>
      </c>
      <c r="F74" s="7">
        <f>E74+1</f>
        <v>2018</v>
      </c>
      <c r="G74" s="7">
        <f t="shared" ref="G74:M74" si="21">F74+1</f>
        <v>2019</v>
      </c>
      <c r="H74" s="7">
        <f t="shared" si="21"/>
        <v>2020</v>
      </c>
      <c r="I74" s="7">
        <f t="shared" si="21"/>
        <v>2021</v>
      </c>
      <c r="J74" s="7">
        <f t="shared" si="21"/>
        <v>2022</v>
      </c>
      <c r="K74" s="7">
        <f t="shared" si="21"/>
        <v>2023</v>
      </c>
      <c r="L74" s="7">
        <f t="shared" si="21"/>
        <v>2024</v>
      </c>
      <c r="M74" s="7">
        <f t="shared" si="21"/>
        <v>2025</v>
      </c>
      <c r="N74" s="7">
        <f>M74+1</f>
        <v>2026</v>
      </c>
      <c r="O74" s="7">
        <f t="shared" ref="O74:S74" si="22">N74+1</f>
        <v>2027</v>
      </c>
      <c r="P74" s="7">
        <f t="shared" si="22"/>
        <v>2028</v>
      </c>
      <c r="Q74" s="7">
        <f>P74+1</f>
        <v>2029</v>
      </c>
      <c r="R74" s="7">
        <f t="shared" si="22"/>
        <v>2030</v>
      </c>
      <c r="S74" s="7">
        <f t="shared" si="22"/>
        <v>2031</v>
      </c>
      <c r="T74" s="1"/>
    </row>
    <row r="75" spans="1:33" ht="19" x14ac:dyDescent="0.25">
      <c r="B75" s="9" t="s">
        <v>5</v>
      </c>
      <c r="E75" s="73">
        <f>E36</f>
        <v>8904500575.833334</v>
      </c>
      <c r="F75" s="73">
        <f>F36</f>
        <v>11549166666.666666</v>
      </c>
      <c r="G75" s="73">
        <f>G36</f>
        <v>10984500000</v>
      </c>
      <c r="H75" s="73">
        <f>H36</f>
        <v>16195250000</v>
      </c>
      <c r="I75" s="73">
        <f>I36</f>
        <v>26060749999.999996</v>
      </c>
      <c r="J75" s="137">
        <f ca="1">I75*(1+J76)</f>
        <v>33043501583.333332</v>
      </c>
      <c r="K75" s="67">
        <f t="shared" ref="K75:S75" ca="1" si="23">J75*(1+K76)</f>
        <v>38494263250</v>
      </c>
      <c r="L75" s="67">
        <f t="shared" ca="1" si="23"/>
        <v>44840065333.333328</v>
      </c>
      <c r="M75" s="67">
        <f t="shared" ca="1" si="23"/>
        <v>51496275496.986145</v>
      </c>
      <c r="N75" s="67">
        <f t="shared" ca="1" si="23"/>
        <v>58295644788.909927</v>
      </c>
      <c r="O75" s="67">
        <f t="shared" ca="1" si="23"/>
        <v>65036306635.183548</v>
      </c>
      <c r="P75" s="67">
        <f t="shared" ca="1" si="23"/>
        <v>71489318387.703964</v>
      </c>
      <c r="Q75" s="67">
        <f ca="1">P75*(1+Q76)</f>
        <v>77409667317.011642</v>
      </c>
      <c r="R75" s="67">
        <f t="shared" ca="1" si="23"/>
        <v>82550228699.118439</v>
      </c>
      <c r="S75" s="67">
        <f t="shared" ca="1" si="23"/>
        <v>86677740134.074371</v>
      </c>
      <c r="T75" s="1"/>
    </row>
    <row r="76" spans="1:33" ht="19" x14ac:dyDescent="0.25">
      <c r="B76" s="10" t="s">
        <v>6</v>
      </c>
      <c r="F76" s="25">
        <f>F75/E75-1</f>
        <v>0.29700330392598451</v>
      </c>
      <c r="G76" s="25">
        <f t="shared" ref="G76:I76" si="24">G75/F75-1</f>
        <v>-4.8892416480265433E-2</v>
      </c>
      <c r="H76" s="25">
        <f t="shared" si="24"/>
        <v>0.47437298010833451</v>
      </c>
      <c r="I76" s="25">
        <f t="shared" si="24"/>
        <v>0.60916009323721432</v>
      </c>
      <c r="J76" s="136">
        <f ca="1">OFFSET(J76,$D$9,0)</f>
        <v>0.26794131340553662</v>
      </c>
      <c r="K76" s="25">
        <f t="shared" ref="K76:S76" ca="1" si="25">OFFSET(K76,$D$9,0)</f>
        <v>0.16495714453627852</v>
      </c>
      <c r="L76" s="25">
        <f t="shared" ca="1" si="25"/>
        <v>0.16485059194718654</v>
      </c>
      <c r="M76" s="25">
        <f t="shared" ca="1" si="25"/>
        <v>0.14844336452615989</v>
      </c>
      <c r="N76" s="25">
        <f t="shared" ca="1" si="25"/>
        <v>0.13203613710513323</v>
      </c>
      <c r="O76" s="25">
        <f t="shared" ca="1" si="25"/>
        <v>0.11562890968410658</v>
      </c>
      <c r="P76" s="25">
        <f t="shared" ca="1" si="25"/>
        <v>9.9221682263079924E-2</v>
      </c>
      <c r="Q76" s="25">
        <f t="shared" ca="1" si="25"/>
        <v>8.281445484205327E-2</v>
      </c>
      <c r="R76" s="25">
        <f t="shared" ca="1" si="25"/>
        <v>6.6407227421026616E-2</v>
      </c>
      <c r="S76" s="25">
        <f t="shared" ca="1" si="25"/>
        <v>0.05</v>
      </c>
      <c r="T76" s="1"/>
    </row>
    <row r="77" spans="1:33" ht="19" x14ac:dyDescent="0.25">
      <c r="A77" s="151" t="s">
        <v>226</v>
      </c>
      <c r="B77" s="10" t="s">
        <v>183</v>
      </c>
      <c r="F77" s="25"/>
      <c r="G77" s="25"/>
      <c r="H77" s="25"/>
      <c r="I77" s="25"/>
      <c r="J77" s="138">
        <f>H9</f>
        <v>0.24794131340553663</v>
      </c>
      <c r="K77" s="98">
        <f>H10</f>
        <v>0.14495714453627853</v>
      </c>
      <c r="L77" s="98">
        <f>H11</f>
        <v>0.14485059194718655</v>
      </c>
      <c r="M77" s="79">
        <f>L77-($L$77-$S$77)/($S$74-$L$74)</f>
        <v>0.12701479309758848</v>
      </c>
      <c r="N77" s="79">
        <f t="shared" ref="N77:R77" si="26">M77-($L$77-$S$77)/($S$74-$L$74)</f>
        <v>0.10917899424799041</v>
      </c>
      <c r="O77" s="79">
        <f t="shared" si="26"/>
        <v>9.1343195398392335E-2</v>
      </c>
      <c r="P77" s="79">
        <f t="shared" si="26"/>
        <v>7.3507396548794263E-2</v>
      </c>
      <c r="Q77" s="79">
        <f t="shared" si="26"/>
        <v>5.5671597699196183E-2</v>
      </c>
      <c r="R77" s="79">
        <f t="shared" si="26"/>
        <v>3.7835798849598104E-2</v>
      </c>
      <c r="S77" s="99">
        <f>H12</f>
        <v>0.02</v>
      </c>
      <c r="T77" s="1"/>
    </row>
    <row r="78" spans="1:33" ht="19" x14ac:dyDescent="0.25">
      <c r="A78" t="s">
        <v>227</v>
      </c>
      <c r="B78" s="10" t="s">
        <v>184</v>
      </c>
      <c r="F78" s="25"/>
      <c r="G78" s="25"/>
      <c r="H78" s="25"/>
      <c r="I78" s="25"/>
      <c r="J78" s="139">
        <f>J37</f>
        <v>0.26794131340553662</v>
      </c>
      <c r="K78" s="79">
        <f>K37</f>
        <v>0.16495714453627852</v>
      </c>
      <c r="L78" s="79">
        <f>L37</f>
        <v>0.16485059194718654</v>
      </c>
      <c r="M78" s="79">
        <f t="shared" ref="M78:R78" si="27">L78-($L$78-$S$78)/($S$74-$L$74)</f>
        <v>0.14844336452615989</v>
      </c>
      <c r="N78" s="79">
        <f t="shared" si="27"/>
        <v>0.13203613710513323</v>
      </c>
      <c r="O78" s="79">
        <f t="shared" si="27"/>
        <v>0.11562890968410658</v>
      </c>
      <c r="P78" s="79">
        <f t="shared" si="27"/>
        <v>9.9221682263079924E-2</v>
      </c>
      <c r="Q78" s="79">
        <f t="shared" si="27"/>
        <v>8.281445484205327E-2</v>
      </c>
      <c r="R78" s="79">
        <f t="shared" si="27"/>
        <v>6.6407227421026616E-2</v>
      </c>
      <c r="S78" s="94">
        <f>K11</f>
        <v>0.05</v>
      </c>
      <c r="T78" s="1"/>
      <c r="AE78">
        <v>2019</v>
      </c>
      <c r="AF78">
        <v>2020</v>
      </c>
      <c r="AG78">
        <v>2021</v>
      </c>
    </row>
    <row r="79" spans="1:33" ht="19" x14ac:dyDescent="0.25">
      <c r="A79" t="s">
        <v>228</v>
      </c>
      <c r="B79" s="10" t="s">
        <v>185</v>
      </c>
      <c r="F79" s="25"/>
      <c r="G79" s="25"/>
      <c r="H79" s="25"/>
      <c r="I79" s="25"/>
      <c r="J79" s="138">
        <f>P9</f>
        <v>0.28794131340553664</v>
      </c>
      <c r="K79" s="79">
        <f>P10</f>
        <v>0.21495714453627851</v>
      </c>
      <c r="L79" s="96">
        <f>P11</f>
        <v>0.21485059194718653</v>
      </c>
      <c r="M79" s="79">
        <f>L79-($L$79-$S$79)/($S$74-$L$74)</f>
        <v>0.1941576502404456</v>
      </c>
      <c r="N79" s="79">
        <f t="shared" ref="N79:R79" si="28">M79-($L$79-$S$79)/($S$74-$L$74)</f>
        <v>0.17346470853370466</v>
      </c>
      <c r="O79" s="79">
        <f t="shared" si="28"/>
        <v>0.15277176682696372</v>
      </c>
      <c r="P79" s="79">
        <f t="shared" si="28"/>
        <v>0.13207882512022279</v>
      </c>
      <c r="Q79" s="79">
        <f t="shared" si="28"/>
        <v>0.11138588341348185</v>
      </c>
      <c r="R79" s="79">
        <f t="shared" si="28"/>
        <v>9.0692941706740915E-2</v>
      </c>
      <c r="S79" s="100">
        <f>P12</f>
        <v>7.0000000000000007E-2</v>
      </c>
      <c r="T79" s="1"/>
      <c r="AC79" t="s">
        <v>196</v>
      </c>
      <c r="AE79">
        <v>71.965000000000003</v>
      </c>
      <c r="AF79">
        <v>77.867000000000004</v>
      </c>
      <c r="AG79">
        <v>79.024000000000001</v>
      </c>
    </row>
    <row r="80" spans="1:33" ht="19" x14ac:dyDescent="0.25">
      <c r="B80" s="10"/>
      <c r="I80" s="62"/>
      <c r="J80" s="135"/>
      <c r="O80" s="1"/>
      <c r="P80" s="1"/>
      <c r="Q80" s="1"/>
      <c r="R80" s="1"/>
      <c r="S80" s="1"/>
      <c r="T80" s="1"/>
      <c r="AF80" s="19">
        <f>AF79/AE79-1</f>
        <v>8.2012089210032668E-2</v>
      </c>
      <c r="AG80" s="19">
        <f>AG79/AF79-1</f>
        <v>1.4858669269395275E-2</v>
      </c>
    </row>
    <row r="81" spans="2:20" ht="19" x14ac:dyDescent="0.25">
      <c r="B81" s="9" t="s">
        <v>7</v>
      </c>
      <c r="E81" s="73">
        <f>E39</f>
        <v>2942500575.8333335</v>
      </c>
      <c r="F81" s="73">
        <f>F39</f>
        <v>3754500000</v>
      </c>
      <c r="G81" s="73">
        <f>G39</f>
        <v>2925833333.333333</v>
      </c>
      <c r="H81" s="73">
        <f>H39</f>
        <v>4391500000</v>
      </c>
      <c r="I81" s="73">
        <f>I39</f>
        <v>9581916666.666666</v>
      </c>
      <c r="J81" s="137">
        <f t="shared" ref="J81:S81" ca="1" si="29">J82*J75</f>
        <v>15480396416.666666</v>
      </c>
      <c r="K81" s="67">
        <f t="shared" ca="1" si="29"/>
        <v>18714316916.666664</v>
      </c>
      <c r="L81" s="67">
        <f t="shared" ca="1" si="29"/>
        <v>21261892166.666668</v>
      </c>
      <c r="M81" s="67">
        <f t="shared" ca="1" si="29"/>
        <v>23504595754.34565</v>
      </c>
      <c r="N81" s="67">
        <f t="shared" ca="1" si="29"/>
        <v>25651581880.260139</v>
      </c>
      <c r="O81" s="67">
        <f t="shared" ca="1" si="29"/>
        <v>27550580851.160122</v>
      </c>
      <c r="P81" s="67">
        <f t="shared" ca="1" si="29"/>
        <v>29111254325.575985</v>
      </c>
      <c r="Q81" s="67">
        <f t="shared" ca="1" si="29"/>
        <v>30252008966.060703</v>
      </c>
      <c r="R81" s="67">
        <f t="shared" ca="1" si="29"/>
        <v>30906540629.488636</v>
      </c>
      <c r="S81" s="67">
        <f t="shared" ca="1" si="29"/>
        <v>30337209046.926029</v>
      </c>
    </row>
    <row r="82" spans="2:20" ht="19" x14ac:dyDescent="0.25">
      <c r="B82" s="10" t="s">
        <v>8</v>
      </c>
      <c r="E82" s="25">
        <f>E81/E75</f>
        <v>0.33045093891275956</v>
      </c>
      <c r="F82" s="25">
        <f>F81/F75</f>
        <v>0.32508839021574432</v>
      </c>
      <c r="G82" s="25">
        <f>G81/G75</f>
        <v>0.26636017418483621</v>
      </c>
      <c r="H82" s="25">
        <f>H81/H75</f>
        <v>0.27115975363146599</v>
      </c>
      <c r="I82" s="25">
        <f>I81/I75</f>
        <v>0.36767616690489213</v>
      </c>
      <c r="J82" s="136">
        <f ca="1">OFFSET(J82,$D$10,0)</f>
        <v>0.46848535036839911</v>
      </c>
      <c r="K82" s="25">
        <f t="shared" ref="K82:S82" ca="1" si="30">OFFSET(K82,$D$9,0)</f>
        <v>0.48615859446710319</v>
      </c>
      <c r="L82" s="25">
        <f t="shared" ca="1" si="30"/>
        <v>0.47417174815891594</v>
      </c>
      <c r="M82" s="25">
        <f t="shared" ca="1" si="30"/>
        <v>0.45643292699335652</v>
      </c>
      <c r="N82" s="25">
        <f t="shared" ca="1" si="30"/>
        <v>0.4400256995723299</v>
      </c>
      <c r="O82" s="25">
        <f t="shared" ca="1" si="30"/>
        <v>0.42361847215130327</v>
      </c>
      <c r="P82" s="25">
        <f t="shared" ca="1" si="30"/>
        <v>0.40721124473027664</v>
      </c>
      <c r="Q82" s="25">
        <f t="shared" ca="1" si="30"/>
        <v>0.39080401730925002</v>
      </c>
      <c r="R82" s="25">
        <f t="shared" ca="1" si="30"/>
        <v>0.37439678988822339</v>
      </c>
      <c r="S82" s="25">
        <f t="shared" ca="1" si="30"/>
        <v>0.35</v>
      </c>
    </row>
    <row r="83" spans="2:20" ht="19" x14ac:dyDescent="0.25">
      <c r="B83" s="10" t="s">
        <v>183</v>
      </c>
      <c r="F83" s="25"/>
      <c r="G83" s="25"/>
      <c r="H83" s="25"/>
      <c r="I83" s="25"/>
      <c r="J83" s="138">
        <f>J84+$H$13</f>
        <v>0.44848535036839909</v>
      </c>
      <c r="K83" s="96">
        <f>K84+$H$13</f>
        <v>0.46615859446710317</v>
      </c>
      <c r="L83" s="96">
        <f>L84+$H$13</f>
        <v>0.45417174815891592</v>
      </c>
      <c r="M83" s="79">
        <f>L83-($L$83-$S$83)/($S$74-$L$74)</f>
        <v>0.43214721270764223</v>
      </c>
      <c r="N83" s="79">
        <f t="shared" ref="N83:R83" si="31">M83-($L$83-$S$83)/($S$74-$L$74)</f>
        <v>0.41012267725636853</v>
      </c>
      <c r="O83" s="79">
        <f t="shared" si="31"/>
        <v>0.38809814180509483</v>
      </c>
      <c r="P83" s="79">
        <f t="shared" si="31"/>
        <v>0.36607360635382113</v>
      </c>
      <c r="Q83" s="79">
        <f t="shared" si="31"/>
        <v>0.34404907090254744</v>
      </c>
      <c r="R83" s="79">
        <f t="shared" si="31"/>
        <v>0.32202453545127374</v>
      </c>
      <c r="S83" s="96">
        <f>H14</f>
        <v>0.3</v>
      </c>
      <c r="T83" s="1"/>
    </row>
    <row r="84" spans="2:20" ht="19" x14ac:dyDescent="0.25">
      <c r="B84" s="10" t="s">
        <v>184</v>
      </c>
      <c r="F84" s="25"/>
      <c r="G84" s="25"/>
      <c r="H84" s="25"/>
      <c r="I84" s="25"/>
      <c r="J84" s="139">
        <f>J40</f>
        <v>0.46848535036839911</v>
      </c>
      <c r="K84" s="79">
        <f>K40</f>
        <v>0.48615859446710319</v>
      </c>
      <c r="L84" s="79">
        <f>L40</f>
        <v>0.47417174815891594</v>
      </c>
      <c r="M84" s="79">
        <f>L84-($L$84-$S$84)/($S$74-$L$74)</f>
        <v>0.45643292699335652</v>
      </c>
      <c r="N84" s="79">
        <f>M84-($L$78-$S$78)/($S$74-$L$74)</f>
        <v>0.4400256995723299</v>
      </c>
      <c r="O84" s="79">
        <f>N84-($L$78-$S$78)/($S$74-$L$74)</f>
        <v>0.42361847215130327</v>
      </c>
      <c r="P84" s="79">
        <f>O84-($L$78-$S$78)/($S$74-$L$74)</f>
        <v>0.40721124473027664</v>
      </c>
      <c r="Q84" s="79">
        <f>P84-($L$78-$S$78)/($S$74-$L$74)</f>
        <v>0.39080401730925002</v>
      </c>
      <c r="R84" s="79">
        <f>Q84-($L$78-$S$78)/($S$74-$L$74)</f>
        <v>0.37439678988822339</v>
      </c>
      <c r="S84" s="79">
        <f>K12</f>
        <v>0.35</v>
      </c>
      <c r="T84" s="1"/>
    </row>
    <row r="85" spans="2:20" ht="19" x14ac:dyDescent="0.25">
      <c r="B85" s="10" t="s">
        <v>185</v>
      </c>
      <c r="F85" s="25"/>
      <c r="G85" s="25"/>
      <c r="H85" s="25"/>
      <c r="I85" s="25"/>
      <c r="J85" s="138">
        <f>J84+$P$13</f>
        <v>0.47848535036839912</v>
      </c>
      <c r="K85" s="96">
        <f>K84+$P$13</f>
        <v>0.4961585944671032</v>
      </c>
      <c r="L85" s="96">
        <f>L84+$P$13</f>
        <v>0.48417174815891595</v>
      </c>
      <c r="M85" s="79">
        <f>L85-($L$85-$S$85)/($S$74-$L$74)</f>
        <v>0.47214721270764226</v>
      </c>
      <c r="N85" s="79">
        <f t="shared" ref="N85:R85" si="32">M85-($L$85-$S$85)/($S$74-$L$74)</f>
        <v>0.46012267725636857</v>
      </c>
      <c r="O85" s="79">
        <f t="shared" si="32"/>
        <v>0.44809814180509489</v>
      </c>
      <c r="P85" s="79">
        <f t="shared" si="32"/>
        <v>0.4360736063538212</v>
      </c>
      <c r="Q85" s="79">
        <f t="shared" si="32"/>
        <v>0.42404907090254751</v>
      </c>
      <c r="R85" s="79">
        <f t="shared" si="32"/>
        <v>0.41202453545127382</v>
      </c>
      <c r="S85" s="96">
        <f>P14</f>
        <v>0.4</v>
      </c>
      <c r="T85" s="1"/>
    </row>
    <row r="86" spans="2:20" x14ac:dyDescent="0.2">
      <c r="I86" s="62"/>
      <c r="J86" s="135"/>
    </row>
    <row r="87" spans="2:20" ht="19" x14ac:dyDescent="0.25">
      <c r="B87" s="9" t="s">
        <v>9</v>
      </c>
      <c r="E87" s="73">
        <f>E42</f>
        <v>258500575.83333334</v>
      </c>
      <c r="F87" s="73">
        <f>F42</f>
        <v>136250000</v>
      </c>
      <c r="G87" s="73">
        <f>G42</f>
        <v>169750000</v>
      </c>
      <c r="H87" s="73">
        <f>H42</f>
        <v>85083333.333333328</v>
      </c>
      <c r="I87" s="73">
        <f>I42</f>
        <v>179666666.66666666</v>
      </c>
      <c r="J87" s="137">
        <f ca="1">J81*J88</f>
        <v>1702843605.8333333</v>
      </c>
      <c r="K87" s="67">
        <f t="shared" ref="K87:S87" ca="1" si="33">K81*K88</f>
        <v>2058574860.833333</v>
      </c>
      <c r="L87" s="67">
        <f t="shared" ca="1" si="33"/>
        <v>2338808138.3333335</v>
      </c>
      <c r="M87" s="67">
        <f t="shared" ca="1" si="33"/>
        <v>2585505532.9780216</v>
      </c>
      <c r="N87" s="67">
        <f t="shared" ca="1" si="33"/>
        <v>2821674006.8286152</v>
      </c>
      <c r="O87" s="67">
        <f t="shared" ca="1" si="33"/>
        <v>3030563893.6276135</v>
      </c>
      <c r="P87" s="67">
        <f t="shared" ca="1" si="33"/>
        <v>3202237975.8133583</v>
      </c>
      <c r="Q87" s="67">
        <f t="shared" ca="1" si="33"/>
        <v>3327720986.2666774</v>
      </c>
      <c r="R87" s="67">
        <f t="shared" ca="1" si="33"/>
        <v>3399719469.2437501</v>
      </c>
      <c r="S87" s="67">
        <f t="shared" ca="1" si="33"/>
        <v>3337092995.1618633</v>
      </c>
    </row>
    <row r="88" spans="2:20" ht="19" x14ac:dyDescent="0.25">
      <c r="B88" s="10" t="s">
        <v>10</v>
      </c>
      <c r="E88" s="25">
        <f>E87/E81</f>
        <v>8.7850645793034199E-2</v>
      </c>
      <c r="F88" s="25">
        <f>F87/F81</f>
        <v>3.6289785590624582E-2</v>
      </c>
      <c r="G88" s="25">
        <f>G87/G81</f>
        <v>5.8017658786670472E-2</v>
      </c>
      <c r="H88" s="25">
        <f>H87/H81</f>
        <v>1.9374549318759725E-2</v>
      </c>
      <c r="I88" s="25">
        <f>I87/I81</f>
        <v>1.8750597914474313E-2</v>
      </c>
      <c r="J88" s="140">
        <v>0.11</v>
      </c>
      <c r="K88" s="103">
        <v>0.11</v>
      </c>
      <c r="L88" s="103">
        <v>0.11</v>
      </c>
      <c r="M88" s="103">
        <v>0.11</v>
      </c>
      <c r="N88" s="103">
        <v>0.11</v>
      </c>
      <c r="O88" s="103">
        <v>0.11</v>
      </c>
      <c r="P88" s="103">
        <v>0.11</v>
      </c>
      <c r="Q88" s="103">
        <v>0.11</v>
      </c>
      <c r="R88" s="103">
        <v>0.11</v>
      </c>
      <c r="S88" s="103">
        <v>0.11</v>
      </c>
    </row>
    <row r="89" spans="2:20" ht="19" x14ac:dyDescent="0.25">
      <c r="B89" s="10"/>
      <c r="E89" s="25"/>
      <c r="F89" s="25"/>
      <c r="G89" s="25"/>
      <c r="H89" s="25"/>
      <c r="I89" s="25"/>
      <c r="J89" s="140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20" ht="19" x14ac:dyDescent="0.25">
      <c r="B90" s="105" t="s">
        <v>177</v>
      </c>
      <c r="C90" s="106"/>
      <c r="D90" s="106"/>
      <c r="E90" s="107"/>
      <c r="F90" s="107"/>
      <c r="G90" s="107"/>
      <c r="H90" s="107"/>
      <c r="I90" s="107"/>
      <c r="J90" s="141">
        <f ca="1">J81-J87</f>
        <v>13777552810.833332</v>
      </c>
      <c r="K90" s="109">
        <f t="shared" ref="K90:S90" ca="1" si="34">K81-K87</f>
        <v>16655742055.833332</v>
      </c>
      <c r="L90" s="109">
        <f t="shared" ca="1" si="34"/>
        <v>18923084028.333336</v>
      </c>
      <c r="M90" s="109">
        <f t="shared" ca="1" si="34"/>
        <v>20919090221.36763</v>
      </c>
      <c r="N90" s="109">
        <f t="shared" ca="1" si="34"/>
        <v>22829907873.431526</v>
      </c>
      <c r="O90" s="109">
        <f t="shared" ca="1" si="34"/>
        <v>24520016957.532509</v>
      </c>
      <c r="P90" s="109">
        <f t="shared" ca="1" si="34"/>
        <v>25909016349.762627</v>
      </c>
      <c r="Q90" s="109">
        <f t="shared" ca="1" si="34"/>
        <v>26924287979.794025</v>
      </c>
      <c r="R90" s="109">
        <f t="shared" ca="1" si="34"/>
        <v>27506821160.244884</v>
      </c>
      <c r="S90" s="110">
        <f t="shared" ca="1" si="34"/>
        <v>27000116051.764168</v>
      </c>
    </row>
    <row r="91" spans="2:20" ht="19" x14ac:dyDescent="0.25">
      <c r="B91" s="10"/>
      <c r="E91" s="25"/>
      <c r="F91" s="25"/>
      <c r="G91" s="25"/>
      <c r="H91" s="25"/>
      <c r="I91" s="25"/>
      <c r="J91" s="135"/>
    </row>
    <row r="92" spans="2:20" ht="19" x14ac:dyDescent="0.25">
      <c r="B92" s="9" t="s">
        <v>11</v>
      </c>
      <c r="E92" s="73">
        <f>E61</f>
        <v>198000000</v>
      </c>
      <c r="F92" s="73">
        <f t="shared" ref="F92:I92" si="35">F61</f>
        <v>256750000</v>
      </c>
      <c r="G92" s="73">
        <f t="shared" si="35"/>
        <v>371083333.33333331</v>
      </c>
      <c r="H92" s="73">
        <f t="shared" si="35"/>
        <v>1038250000</v>
      </c>
      <c r="I92" s="73">
        <f t="shared" si="35"/>
        <v>1167666666.6666665</v>
      </c>
      <c r="J92" s="137">
        <f ca="1">J93*J75</f>
        <v>1571728701.5446622</v>
      </c>
      <c r="K92" s="67">
        <f t="shared" ref="K92:S92" ca="1" si="36">K93*K75</f>
        <v>1830996580.1371825</v>
      </c>
      <c r="L92" s="67">
        <f t="shared" ca="1" si="36"/>
        <v>2132837450.2260714</v>
      </c>
      <c r="M92" s="67">
        <f t="shared" ca="1" si="36"/>
        <v>2449443017.3250251</v>
      </c>
      <c r="N92" s="67">
        <f t="shared" ca="1" si="36"/>
        <v>2772858011.3917637</v>
      </c>
      <c r="O92" s="67">
        <f t="shared" ca="1" si="36"/>
        <v>3093480559.9578328</v>
      </c>
      <c r="P92" s="67">
        <f t="shared" ca="1" si="36"/>
        <v>3400420905.1649837</v>
      </c>
      <c r="Q92" s="67">
        <f t="shared" ca="1" si="36"/>
        <v>3682024908.6597428</v>
      </c>
      <c r="R92" s="67">
        <f t="shared" ca="1" si="36"/>
        <v>3926537974.1389952</v>
      </c>
      <c r="S92" s="67">
        <f t="shared" ca="1" si="36"/>
        <v>4122864872.8459454</v>
      </c>
    </row>
    <row r="93" spans="2:20" ht="19" x14ac:dyDescent="0.25">
      <c r="B93" s="10" t="s">
        <v>8</v>
      </c>
      <c r="E93" s="69">
        <f>E92/E75</f>
        <v>2.2235946678174034E-2</v>
      </c>
      <c r="F93" s="69">
        <f>F92/F75</f>
        <v>2.2231041200663829E-2</v>
      </c>
      <c r="G93" s="69">
        <f>G92/G75</f>
        <v>3.3782451029480937E-2</v>
      </c>
      <c r="H93" s="69">
        <f>H92/H75</f>
        <v>6.4108303360553245E-2</v>
      </c>
      <c r="I93" s="69">
        <f>I92/I75</f>
        <v>4.4805566480882811E-2</v>
      </c>
      <c r="J93" s="142">
        <f>AVERAGE($G$93:$I$93)</f>
        <v>4.7565440290305662E-2</v>
      </c>
      <c r="K93" s="111">
        <f t="shared" ref="K93:S93" si="37">AVERAGE($G$93:$I$93)</f>
        <v>4.7565440290305662E-2</v>
      </c>
      <c r="L93" s="111">
        <f t="shared" si="37"/>
        <v>4.7565440290305662E-2</v>
      </c>
      <c r="M93" s="111">
        <f t="shared" si="37"/>
        <v>4.7565440290305662E-2</v>
      </c>
      <c r="N93" s="111">
        <f t="shared" si="37"/>
        <v>4.7565440290305662E-2</v>
      </c>
      <c r="O93" s="111">
        <f t="shared" si="37"/>
        <v>4.7565440290305662E-2</v>
      </c>
      <c r="P93" s="111">
        <f t="shared" si="37"/>
        <v>4.7565440290305662E-2</v>
      </c>
      <c r="Q93" s="111">
        <f t="shared" si="37"/>
        <v>4.7565440290305662E-2</v>
      </c>
      <c r="R93" s="111">
        <f t="shared" si="37"/>
        <v>4.7565440290305662E-2</v>
      </c>
      <c r="S93" s="111">
        <f t="shared" si="37"/>
        <v>4.7565440290305662E-2</v>
      </c>
    </row>
    <row r="94" spans="2:20" x14ac:dyDescent="0.2">
      <c r="F94" s="62"/>
      <c r="I94" s="62"/>
      <c r="J94" s="135"/>
    </row>
    <row r="95" spans="2:20" ht="19" x14ac:dyDescent="0.25">
      <c r="B95" s="9" t="s">
        <v>13</v>
      </c>
      <c r="E95" s="73">
        <f>E65</f>
        <v>558000000</v>
      </c>
      <c r="F95" s="73">
        <f t="shared" ref="F95:I95" si="38">F65</f>
        <v>599416666.66666663</v>
      </c>
      <c r="G95" s="73">
        <f t="shared" si="38"/>
        <v>498250000</v>
      </c>
      <c r="H95" s="73">
        <f t="shared" si="38"/>
        <v>1074750000</v>
      </c>
      <c r="I95" s="73">
        <f t="shared" si="38"/>
        <v>988666666.66666663</v>
      </c>
      <c r="J95" s="137">
        <f ca="1">J96*J75</f>
        <v>1648412750.3634675</v>
      </c>
      <c r="K95" s="67">
        <f t="shared" ref="K95:S95" ca="1" si="39">K96*K75</f>
        <v>1920330210.6806185</v>
      </c>
      <c r="L95" s="67">
        <f t="shared" ca="1" si="39"/>
        <v>2236897782.6453838</v>
      </c>
      <c r="M95" s="67">
        <f t="shared" ca="1" si="39"/>
        <v>2568950415.6023712</v>
      </c>
      <c r="N95" s="67">
        <f t="shared" ca="1" si="39"/>
        <v>2908144704.8931351</v>
      </c>
      <c r="O95" s="67">
        <f t="shared" ca="1" si="39"/>
        <v>3244410306.3235359</v>
      </c>
      <c r="P95" s="67">
        <f t="shared" ca="1" si="39"/>
        <v>3566326154.8686314</v>
      </c>
      <c r="Q95" s="67">
        <f t="shared" ca="1" si="39"/>
        <v>3861669511.1730332</v>
      </c>
      <c r="R95" s="67">
        <f t="shared" ca="1" si="39"/>
        <v>4118112276.6263452</v>
      </c>
      <c r="S95" s="67">
        <f t="shared" ca="1" si="39"/>
        <v>4324017890.4576635</v>
      </c>
    </row>
    <row r="96" spans="2:20" ht="19" x14ac:dyDescent="0.25">
      <c r="B96" s="65" t="s">
        <v>8</v>
      </c>
      <c r="E96" s="19">
        <f>E95/E36</f>
        <v>6.2664940638490457E-2</v>
      </c>
      <c r="F96" s="19">
        <f>F95/F36</f>
        <v>5.1901291579479036E-2</v>
      </c>
      <c r="G96" s="19">
        <f>G95/G36</f>
        <v>4.5359370021393786E-2</v>
      </c>
      <c r="H96" s="19">
        <f>H95/H36</f>
        <v>6.6362050601256536E-2</v>
      </c>
      <c r="I96" s="19">
        <f>I95/I36</f>
        <v>3.7936999766571063E-2</v>
      </c>
      <c r="J96" s="142">
        <f>AVERAGE($G$96:$I$96)</f>
        <v>4.9886140129740464E-2</v>
      </c>
      <c r="K96" s="111">
        <f t="shared" ref="K96:S96" si="40">AVERAGE($G$96:$I$96)</f>
        <v>4.9886140129740464E-2</v>
      </c>
      <c r="L96" s="111">
        <f t="shared" si="40"/>
        <v>4.9886140129740464E-2</v>
      </c>
      <c r="M96" s="111">
        <f t="shared" si="40"/>
        <v>4.9886140129740464E-2</v>
      </c>
      <c r="N96" s="111">
        <f t="shared" si="40"/>
        <v>4.9886140129740464E-2</v>
      </c>
      <c r="O96" s="111">
        <f t="shared" si="40"/>
        <v>4.9886140129740464E-2</v>
      </c>
      <c r="P96" s="111">
        <f t="shared" si="40"/>
        <v>4.9886140129740464E-2</v>
      </c>
      <c r="Q96" s="111">
        <f t="shared" si="40"/>
        <v>4.9886140129740464E-2</v>
      </c>
      <c r="R96" s="111">
        <f t="shared" si="40"/>
        <v>4.9886140129740464E-2</v>
      </c>
      <c r="S96" s="111">
        <f t="shared" si="40"/>
        <v>4.9886140129740464E-2</v>
      </c>
    </row>
    <row r="97" spans="2:19" ht="19" x14ac:dyDescent="0.25">
      <c r="B97" s="9"/>
      <c r="I97" s="62"/>
      <c r="J97" s="135"/>
    </row>
    <row r="98" spans="2:19" ht="19" x14ac:dyDescent="0.25">
      <c r="B98" s="9" t="s">
        <v>14</v>
      </c>
      <c r="E98" s="73">
        <f>E68</f>
        <v>-113000000</v>
      </c>
      <c r="F98" s="73">
        <f t="shared" ref="F98:H98" si="41">F68</f>
        <v>770166666.66666663</v>
      </c>
      <c r="G98" s="73">
        <f t="shared" si="41"/>
        <v>-585833333.33333337</v>
      </c>
      <c r="H98" s="73">
        <f t="shared" si="41"/>
        <v>584666666.66666663</v>
      </c>
      <c r="I98" s="73">
        <f>I68</f>
        <v>3141333333.3333335</v>
      </c>
      <c r="J98" s="137">
        <f ca="1">J99*J75</f>
        <v>1137877901.5546875</v>
      </c>
      <c r="K98" s="67">
        <f t="shared" ref="K98:S98" ca="1" si="42">K99*K75</f>
        <v>1325578991.0260816</v>
      </c>
      <c r="L98" s="67">
        <f t="shared" ca="1" si="42"/>
        <v>1544101472.3694854</v>
      </c>
      <c r="M98" s="67">
        <f t="shared" ca="1" si="42"/>
        <v>1773313090.0978088</v>
      </c>
      <c r="N98" s="67">
        <f t="shared" ca="1" si="42"/>
        <v>2007454500.3922908</v>
      </c>
      <c r="O98" s="67">
        <f t="shared" ca="1" si="42"/>
        <v>2239574275.513104</v>
      </c>
      <c r="P98" s="67">
        <f t="shared" ca="1" si="42"/>
        <v>2461788602.6826324</v>
      </c>
      <c r="Q98" s="67">
        <f t="shared" ca="1" si="42"/>
        <v>2665660283.750175</v>
      </c>
      <c r="R98" s="67">
        <f t="shared" ca="1" si="42"/>
        <v>2842679392.440371</v>
      </c>
      <c r="S98" s="67">
        <f t="shared" ca="1" si="42"/>
        <v>2984813362.0623899</v>
      </c>
    </row>
    <row r="99" spans="2:19" ht="19" x14ac:dyDescent="0.25">
      <c r="B99" s="10" t="s">
        <v>8</v>
      </c>
      <c r="E99" s="19">
        <f>E98/E36</f>
        <v>-1.2690211993099323E-2</v>
      </c>
      <c r="F99" s="19">
        <f>F98/F36</f>
        <v>6.6685908074175626E-2</v>
      </c>
      <c r="G99" s="19">
        <f>G98/G36</f>
        <v>-5.3332726417527732E-2</v>
      </c>
      <c r="H99" s="19">
        <f>H98/H36</f>
        <v>3.6101120184416212E-2</v>
      </c>
      <c r="I99" s="19">
        <f>I98/I36</f>
        <v>0.1205388691167113</v>
      </c>
      <c r="J99" s="143">
        <f>AVERAGE($G$99:$I$99)</f>
        <v>3.4435754294533265E-2</v>
      </c>
      <c r="K99" s="19">
        <f t="shared" ref="K99:S99" si="43">AVERAGE($G$99:$I$99)</f>
        <v>3.4435754294533265E-2</v>
      </c>
      <c r="L99" s="19">
        <f t="shared" si="43"/>
        <v>3.4435754294533265E-2</v>
      </c>
      <c r="M99" s="19">
        <f t="shared" si="43"/>
        <v>3.4435754294533265E-2</v>
      </c>
      <c r="N99" s="19">
        <f t="shared" si="43"/>
        <v>3.4435754294533265E-2</v>
      </c>
      <c r="O99" s="19">
        <f t="shared" si="43"/>
        <v>3.4435754294533265E-2</v>
      </c>
      <c r="P99" s="19">
        <f t="shared" si="43"/>
        <v>3.4435754294533265E-2</v>
      </c>
      <c r="Q99" s="19">
        <f t="shared" si="43"/>
        <v>3.4435754294533265E-2</v>
      </c>
      <c r="R99" s="19">
        <f t="shared" si="43"/>
        <v>3.4435754294533265E-2</v>
      </c>
      <c r="S99" s="19">
        <f t="shared" si="43"/>
        <v>3.4435754294533265E-2</v>
      </c>
    </row>
    <row r="100" spans="2:19" x14ac:dyDescent="0.2">
      <c r="I100" s="62"/>
      <c r="J100" s="135"/>
    </row>
    <row r="101" spans="2:19" ht="19" x14ac:dyDescent="0.25">
      <c r="B101" s="108" t="s">
        <v>178</v>
      </c>
      <c r="C101" s="106"/>
      <c r="D101" s="106"/>
      <c r="E101" s="106"/>
      <c r="F101" s="106"/>
      <c r="G101" s="106"/>
      <c r="H101" s="106"/>
      <c r="I101" s="106"/>
      <c r="J101" s="112">
        <f ca="1">J90+J92-J95-J98</f>
        <v>12562990860.459839</v>
      </c>
      <c r="K101" s="112">
        <f t="shared" ref="K101:S101" ca="1" si="44">K90+K92-K95-K98</f>
        <v>15240829434.263817</v>
      </c>
      <c r="L101" s="112">
        <f t="shared" ca="1" si="44"/>
        <v>17274922223.54454</v>
      </c>
      <c r="M101" s="112">
        <f t="shared" ca="1" si="44"/>
        <v>19026269732.992474</v>
      </c>
      <c r="N101" s="112">
        <f t="shared" ca="1" si="44"/>
        <v>20687166679.537861</v>
      </c>
      <c r="O101" s="112">
        <f t="shared" ca="1" si="44"/>
        <v>22129512935.653702</v>
      </c>
      <c r="P101" s="112">
        <f t="shared" ca="1" si="44"/>
        <v>23281322497.37635</v>
      </c>
      <c r="Q101" s="112">
        <f t="shared" ca="1" si="44"/>
        <v>24078983093.53056</v>
      </c>
      <c r="R101" s="112">
        <f t="shared" ca="1" si="44"/>
        <v>24472567465.317162</v>
      </c>
      <c r="S101" s="112">
        <f t="shared" ca="1" si="44"/>
        <v>23814149672.090061</v>
      </c>
    </row>
    <row r="102" spans="2:19" ht="19" x14ac:dyDescent="0.25">
      <c r="B102" s="121" t="s">
        <v>200</v>
      </c>
      <c r="I102" s="149"/>
      <c r="J102" s="87">
        <f t="shared" ref="J102:S102" ca="1" si="45">J101/(1+wacc)^J73</f>
        <v>11461728326.187462</v>
      </c>
      <c r="K102" s="67">
        <f t="shared" ca="1" si="45"/>
        <v>12685942415.497772</v>
      </c>
      <c r="L102" s="67">
        <f t="shared" ca="1" si="45"/>
        <v>13118594260.135147</v>
      </c>
      <c r="M102" s="67">
        <f t="shared" ca="1" si="45"/>
        <v>13182018453.493336</v>
      </c>
      <c r="N102" s="67">
        <f t="shared" ca="1" si="45"/>
        <v>13076344268.742344</v>
      </c>
      <c r="O102" s="67">
        <f t="shared" ca="1" si="45"/>
        <v>12761868173.062815</v>
      </c>
      <c r="P102" s="67">
        <f t="shared" ca="1" si="45"/>
        <v>12249182694.027012</v>
      </c>
      <c r="Q102" s="67">
        <f t="shared" ca="1" si="45"/>
        <v>11558318922.737539</v>
      </c>
      <c r="R102" s="67">
        <f t="shared" ca="1" si="45"/>
        <v>10717491127.852943</v>
      </c>
      <c r="S102" s="67">
        <f t="shared" ca="1" si="45"/>
        <v>9514933197.7148647</v>
      </c>
    </row>
    <row r="103" spans="2:19" ht="19" x14ac:dyDescent="0.25">
      <c r="B103" s="121" t="s">
        <v>213</v>
      </c>
      <c r="I103" s="62"/>
      <c r="K103" s="62"/>
      <c r="S103" s="123">
        <f ca="1">S101*(1+tgr)/(wacc-tgr)</f>
        <v>343400589305.23492</v>
      </c>
    </row>
    <row r="104" spans="2:19" ht="19" x14ac:dyDescent="0.25">
      <c r="B104" s="122" t="s">
        <v>214</v>
      </c>
      <c r="I104" s="62"/>
      <c r="S104" s="123">
        <f ca="1">S103/(1+wacc)^S73</f>
        <v>137205556876.32327</v>
      </c>
    </row>
    <row r="105" spans="2:19" x14ac:dyDescent="0.2">
      <c r="I105" s="62"/>
    </row>
    <row r="106" spans="2:19" ht="19" x14ac:dyDescent="0.25">
      <c r="B106" s="122" t="s">
        <v>215</v>
      </c>
      <c r="I106" s="62"/>
      <c r="S106" s="66">
        <f ca="1">SUM(J102:S102,S104)</f>
        <v>257531978715.77448</v>
      </c>
    </row>
    <row r="107" spans="2:19" ht="19" x14ac:dyDescent="0.25">
      <c r="B107" s="150" t="s">
        <v>216</v>
      </c>
      <c r="I107" s="62"/>
      <c r="S107" s="66">
        <f>'Balance Sheet'!G4+'Balance Sheet'!G5</f>
        <v>21208000000</v>
      </c>
    </row>
    <row r="108" spans="2:19" ht="19" x14ac:dyDescent="0.25">
      <c r="B108" s="150" t="s">
        <v>217</v>
      </c>
      <c r="I108" s="62"/>
      <c r="S108" s="66">
        <f>'Balance Sheet'!G35</f>
        <v>11687000000</v>
      </c>
    </row>
    <row r="109" spans="2:19" ht="19" x14ac:dyDescent="0.25">
      <c r="B109" s="9"/>
      <c r="I109" s="62"/>
    </row>
    <row r="110" spans="2:19" ht="19" x14ac:dyDescent="0.25">
      <c r="B110" s="9" t="s">
        <v>204</v>
      </c>
      <c r="I110" s="62"/>
      <c r="S110" s="66">
        <f ca="1">S106+S107-S108</f>
        <v>267052978715.77448</v>
      </c>
    </row>
    <row r="111" spans="2:19" ht="19" x14ac:dyDescent="0.25">
      <c r="B111" s="9" t="s">
        <v>218</v>
      </c>
      <c r="I111" s="62"/>
      <c r="S111" s="66">
        <v>2500000000</v>
      </c>
    </row>
    <row r="112" spans="2:19" ht="19" x14ac:dyDescent="0.25">
      <c r="B112" s="9" t="s">
        <v>219</v>
      </c>
      <c r="I112" s="62"/>
      <c r="S112" s="124">
        <f ca="1">S110/S111</f>
        <v>106.82119148630979</v>
      </c>
    </row>
    <row r="113" spans="9:9" x14ac:dyDescent="0.2">
      <c r="I113" s="62"/>
    </row>
    <row r="114" spans="9:9" x14ac:dyDescent="0.2">
      <c r="I114" s="62"/>
    </row>
    <row r="115" spans="9:9" x14ac:dyDescent="0.2">
      <c r="I115" s="62"/>
    </row>
    <row r="116" spans="9:9" x14ac:dyDescent="0.2">
      <c r="I116" s="62"/>
    </row>
    <row r="117" spans="9:9" x14ac:dyDescent="0.2">
      <c r="I117" s="62"/>
    </row>
    <row r="118" spans="9:9" x14ac:dyDescent="0.2">
      <c r="I118" s="62"/>
    </row>
    <row r="119" spans="9:9" x14ac:dyDescent="0.2">
      <c r="I119" s="62"/>
    </row>
    <row r="120" spans="9:9" x14ac:dyDescent="0.2">
      <c r="I120" s="62"/>
    </row>
    <row r="121" spans="9:9" x14ac:dyDescent="0.2">
      <c r="I121" s="62"/>
    </row>
    <row r="122" spans="9:9" x14ac:dyDescent="0.2">
      <c r="I122" s="62"/>
    </row>
    <row r="123" spans="9:9" x14ac:dyDescent="0.2">
      <c r="I123" s="62"/>
    </row>
    <row r="124" spans="9:9" x14ac:dyDescent="0.2">
      <c r="I124" s="62"/>
    </row>
    <row r="125" spans="9:9" x14ac:dyDescent="0.2">
      <c r="I125" s="62"/>
    </row>
    <row r="126" spans="9:9" x14ac:dyDescent="0.2">
      <c r="I126" s="62"/>
    </row>
    <row r="127" spans="9:9" x14ac:dyDescent="0.2">
      <c r="I127" s="62"/>
    </row>
    <row r="128" spans="9:9" x14ac:dyDescent="0.2">
      <c r="I128" s="62"/>
    </row>
    <row r="129" spans="9:9" x14ac:dyDescent="0.2">
      <c r="I129" s="62"/>
    </row>
    <row r="130" spans="9:9" x14ac:dyDescent="0.2">
      <c r="I130" s="62"/>
    </row>
    <row r="131" spans="9:9" x14ac:dyDescent="0.2">
      <c r="I131" s="62"/>
    </row>
    <row r="132" spans="9:9" x14ac:dyDescent="0.2">
      <c r="I132" s="62"/>
    </row>
    <row r="133" spans="9:9" x14ac:dyDescent="0.2">
      <c r="I133" s="62"/>
    </row>
    <row r="134" spans="9:9" x14ac:dyDescent="0.2">
      <c r="I134" s="62"/>
    </row>
    <row r="135" spans="9:9" x14ac:dyDescent="0.2">
      <c r="I135" s="62"/>
    </row>
    <row r="136" spans="9:9" x14ac:dyDescent="0.2">
      <c r="I136" s="62"/>
    </row>
    <row r="137" spans="9:9" x14ac:dyDescent="0.2">
      <c r="I137" s="62"/>
    </row>
    <row r="138" spans="9:9" x14ac:dyDescent="0.2">
      <c r="I138" s="62"/>
    </row>
    <row r="139" spans="9:9" x14ac:dyDescent="0.2">
      <c r="I139" s="62"/>
    </row>
    <row r="140" spans="9:9" x14ac:dyDescent="0.2">
      <c r="I140" s="62"/>
    </row>
    <row r="141" spans="9:9" x14ac:dyDescent="0.2">
      <c r="I141" s="62"/>
    </row>
    <row r="142" spans="9:9" x14ac:dyDescent="0.2">
      <c r="I142" s="62"/>
    </row>
    <row r="143" spans="9:9" x14ac:dyDescent="0.2">
      <c r="I143" s="62"/>
    </row>
    <row r="144" spans="9:9" x14ac:dyDescent="0.2">
      <c r="I144" s="62"/>
    </row>
    <row r="145" spans="9:9" x14ac:dyDescent="0.2">
      <c r="I145" s="62"/>
    </row>
    <row r="146" spans="9:9" x14ac:dyDescent="0.2">
      <c r="I146" s="62"/>
    </row>
    <row r="147" spans="9:9" x14ac:dyDescent="0.2">
      <c r="I147" s="62"/>
    </row>
    <row r="148" spans="9:9" x14ac:dyDescent="0.2">
      <c r="I148" s="62"/>
    </row>
    <row r="149" spans="9:9" x14ac:dyDescent="0.2">
      <c r="I149" s="62"/>
    </row>
    <row r="150" spans="9:9" x14ac:dyDescent="0.2">
      <c r="I150" s="62"/>
    </row>
    <row r="151" spans="9:9" x14ac:dyDescent="0.2">
      <c r="I151" s="62"/>
    </row>
    <row r="152" spans="9:9" x14ac:dyDescent="0.2">
      <c r="I152" s="62"/>
    </row>
    <row r="153" spans="9:9" x14ac:dyDescent="0.2">
      <c r="I153" s="62"/>
    </row>
    <row r="154" spans="9:9" x14ac:dyDescent="0.2">
      <c r="I154" s="62"/>
    </row>
    <row r="155" spans="9:9" x14ac:dyDescent="0.2">
      <c r="I155" s="62"/>
    </row>
    <row r="156" spans="9:9" x14ac:dyDescent="0.2">
      <c r="I156" s="62"/>
    </row>
    <row r="157" spans="9:9" x14ac:dyDescent="0.2">
      <c r="I157" s="62"/>
    </row>
    <row r="158" spans="9:9" x14ac:dyDescent="0.2">
      <c r="I158" s="62"/>
    </row>
    <row r="159" spans="9:9" x14ac:dyDescent="0.2">
      <c r="I159" s="62"/>
    </row>
    <row r="160" spans="9:9" x14ac:dyDescent="0.2">
      <c r="I160" s="62"/>
    </row>
    <row r="161" spans="9:9" x14ac:dyDescent="0.2">
      <c r="I161" s="62"/>
    </row>
    <row r="162" spans="9:9" x14ac:dyDescent="0.2">
      <c r="I162" s="62"/>
    </row>
    <row r="163" spans="9:9" x14ac:dyDescent="0.2">
      <c r="I163" s="62"/>
    </row>
    <row r="164" spans="9:9" x14ac:dyDescent="0.2">
      <c r="I164" s="62"/>
    </row>
    <row r="165" spans="9:9" x14ac:dyDescent="0.2">
      <c r="I165" s="62"/>
    </row>
    <row r="166" spans="9:9" x14ac:dyDescent="0.2">
      <c r="I166" s="62"/>
    </row>
    <row r="167" spans="9:9" x14ac:dyDescent="0.2">
      <c r="I167" s="62"/>
    </row>
    <row r="168" spans="9:9" x14ac:dyDescent="0.2">
      <c r="I168" s="62"/>
    </row>
    <row r="169" spans="9:9" x14ac:dyDescent="0.2">
      <c r="I169" s="62"/>
    </row>
    <row r="170" spans="9:9" x14ac:dyDescent="0.2">
      <c r="I170" s="62"/>
    </row>
    <row r="171" spans="9:9" x14ac:dyDescent="0.2">
      <c r="I171" s="62"/>
    </row>
    <row r="172" spans="9:9" x14ac:dyDescent="0.2">
      <c r="I172" s="62"/>
    </row>
    <row r="173" spans="9:9" x14ac:dyDescent="0.2">
      <c r="I173" s="62"/>
    </row>
    <row r="174" spans="9:9" x14ac:dyDescent="0.2">
      <c r="I174" s="62"/>
    </row>
    <row r="175" spans="9:9" x14ac:dyDescent="0.2">
      <c r="I175" s="62"/>
    </row>
    <row r="176" spans="9:9" x14ac:dyDescent="0.2">
      <c r="I176" s="62"/>
    </row>
    <row r="177" spans="9:9" x14ac:dyDescent="0.2">
      <c r="I177" s="62"/>
    </row>
    <row r="178" spans="9:9" x14ac:dyDescent="0.2">
      <c r="I178" s="62"/>
    </row>
    <row r="179" spans="9:9" x14ac:dyDescent="0.2">
      <c r="I179" s="62"/>
    </row>
    <row r="180" spans="9:9" x14ac:dyDescent="0.2">
      <c r="I180" s="62"/>
    </row>
    <row r="181" spans="9:9" x14ac:dyDescent="0.2">
      <c r="I181" s="62"/>
    </row>
    <row r="182" spans="9:9" x14ac:dyDescent="0.2">
      <c r="I182" s="62"/>
    </row>
    <row r="183" spans="9:9" x14ac:dyDescent="0.2">
      <c r="I183" s="62"/>
    </row>
    <row r="184" spans="9:9" x14ac:dyDescent="0.2">
      <c r="I184" s="62"/>
    </row>
    <row r="185" spans="9:9" x14ac:dyDescent="0.2">
      <c r="I185" s="62"/>
    </row>
    <row r="186" spans="9:9" x14ac:dyDescent="0.2">
      <c r="I186" s="62"/>
    </row>
    <row r="187" spans="9:9" x14ac:dyDescent="0.2">
      <c r="I187" s="62"/>
    </row>
    <row r="188" spans="9:9" x14ac:dyDescent="0.2">
      <c r="I188" s="62"/>
    </row>
    <row r="189" spans="9:9" x14ac:dyDescent="0.2">
      <c r="I189" s="62"/>
    </row>
    <row r="190" spans="9:9" x14ac:dyDescent="0.2">
      <c r="I190" s="62"/>
    </row>
    <row r="191" spans="9:9" x14ac:dyDescent="0.2">
      <c r="I191" s="62"/>
    </row>
    <row r="192" spans="9:9" x14ac:dyDescent="0.2">
      <c r="I192" s="62"/>
    </row>
    <row r="193" spans="9:9" x14ac:dyDescent="0.2">
      <c r="I193" s="62"/>
    </row>
    <row r="194" spans="9:9" x14ac:dyDescent="0.2">
      <c r="I194" s="62"/>
    </row>
    <row r="195" spans="9:9" x14ac:dyDescent="0.2">
      <c r="I195" s="62"/>
    </row>
    <row r="196" spans="9:9" x14ac:dyDescent="0.2">
      <c r="I196" s="62"/>
    </row>
    <row r="197" spans="9:9" x14ac:dyDescent="0.2">
      <c r="I197" s="62"/>
    </row>
    <row r="198" spans="9:9" x14ac:dyDescent="0.2">
      <c r="I198" s="62"/>
    </row>
    <row r="199" spans="9:9" x14ac:dyDescent="0.2">
      <c r="I199" s="62"/>
    </row>
    <row r="200" spans="9:9" x14ac:dyDescent="0.2">
      <c r="I200" s="62"/>
    </row>
    <row r="201" spans="9:9" x14ac:dyDescent="0.2">
      <c r="I201" s="62"/>
    </row>
    <row r="202" spans="9:9" x14ac:dyDescent="0.2">
      <c r="I202" s="62"/>
    </row>
    <row r="203" spans="9:9" x14ac:dyDescent="0.2">
      <c r="I203" s="62"/>
    </row>
    <row r="204" spans="9:9" x14ac:dyDescent="0.2">
      <c r="I204" s="62"/>
    </row>
    <row r="205" spans="9:9" x14ac:dyDescent="0.2">
      <c r="I205" s="62"/>
    </row>
    <row r="206" spans="9:9" x14ac:dyDescent="0.2">
      <c r="I206" s="62"/>
    </row>
    <row r="207" spans="9:9" x14ac:dyDescent="0.2">
      <c r="I207" s="62"/>
    </row>
    <row r="208" spans="9:9" x14ac:dyDescent="0.2">
      <c r="I208" s="62"/>
    </row>
    <row r="209" spans="9:9" x14ac:dyDescent="0.2">
      <c r="I209" s="62"/>
    </row>
    <row r="210" spans="9:9" x14ac:dyDescent="0.2">
      <c r="I210" s="62"/>
    </row>
    <row r="211" spans="9:9" x14ac:dyDescent="0.2">
      <c r="I211" s="62"/>
    </row>
    <row r="212" spans="9:9" x14ac:dyDescent="0.2">
      <c r="I212" s="62"/>
    </row>
    <row r="213" spans="9:9" x14ac:dyDescent="0.2">
      <c r="I213" s="62"/>
    </row>
    <row r="214" spans="9:9" x14ac:dyDescent="0.2">
      <c r="I214" s="62"/>
    </row>
    <row r="215" spans="9:9" x14ac:dyDescent="0.2">
      <c r="I215" s="62"/>
    </row>
    <row r="216" spans="9:9" x14ac:dyDescent="0.2">
      <c r="I216" s="62"/>
    </row>
    <row r="217" spans="9:9" x14ac:dyDescent="0.2">
      <c r="I217" s="62"/>
    </row>
    <row r="218" spans="9:9" x14ac:dyDescent="0.2">
      <c r="I218" s="62"/>
    </row>
    <row r="219" spans="9:9" x14ac:dyDescent="0.2">
      <c r="I219" s="62"/>
    </row>
    <row r="220" spans="9:9" x14ac:dyDescent="0.2">
      <c r="I220" s="62"/>
    </row>
    <row r="221" spans="9:9" x14ac:dyDescent="0.2">
      <c r="I221" s="62"/>
    </row>
    <row r="222" spans="9:9" x14ac:dyDescent="0.2">
      <c r="I222" s="62"/>
    </row>
    <row r="223" spans="9:9" x14ac:dyDescent="0.2">
      <c r="I223" s="62"/>
    </row>
    <row r="224" spans="9:9" x14ac:dyDescent="0.2">
      <c r="I224" s="62"/>
    </row>
    <row r="225" spans="9:9" x14ac:dyDescent="0.2">
      <c r="I225" s="62"/>
    </row>
    <row r="226" spans="9:9" x14ac:dyDescent="0.2">
      <c r="I226" s="62"/>
    </row>
    <row r="227" spans="9:9" x14ac:dyDescent="0.2">
      <c r="I227" s="62"/>
    </row>
    <row r="228" spans="9:9" x14ac:dyDescent="0.2">
      <c r="I228" s="62"/>
    </row>
    <row r="229" spans="9:9" x14ac:dyDescent="0.2">
      <c r="I229" s="62"/>
    </row>
    <row r="230" spans="9:9" x14ac:dyDescent="0.2">
      <c r="I230" s="62"/>
    </row>
    <row r="231" spans="9:9" x14ac:dyDescent="0.2">
      <c r="I231" s="62"/>
    </row>
    <row r="232" spans="9:9" x14ac:dyDescent="0.2">
      <c r="I232" s="62"/>
    </row>
    <row r="233" spans="9:9" x14ac:dyDescent="0.2">
      <c r="I233" s="62"/>
    </row>
    <row r="234" spans="9:9" x14ac:dyDescent="0.2">
      <c r="I234" s="62"/>
    </row>
    <row r="235" spans="9:9" x14ac:dyDescent="0.2">
      <c r="I235" s="62"/>
    </row>
    <row r="236" spans="9:9" x14ac:dyDescent="0.2">
      <c r="I236" s="62"/>
    </row>
    <row r="237" spans="9:9" x14ac:dyDescent="0.2">
      <c r="I237" s="62"/>
    </row>
    <row r="238" spans="9:9" x14ac:dyDescent="0.2">
      <c r="I238" s="62"/>
    </row>
    <row r="239" spans="9:9" x14ac:dyDescent="0.2">
      <c r="I239" s="62"/>
    </row>
    <row r="240" spans="9:9" x14ac:dyDescent="0.2">
      <c r="I240" s="62"/>
    </row>
    <row r="241" spans="9:9" x14ac:dyDescent="0.2">
      <c r="I241" s="62"/>
    </row>
    <row r="242" spans="9:9" x14ac:dyDescent="0.2">
      <c r="I242" s="62"/>
    </row>
    <row r="243" spans="9:9" x14ac:dyDescent="0.2">
      <c r="I243" s="62"/>
    </row>
    <row r="244" spans="9:9" x14ac:dyDescent="0.2">
      <c r="I244" s="62"/>
    </row>
    <row r="245" spans="9:9" x14ac:dyDescent="0.2">
      <c r="I245" s="62"/>
    </row>
    <row r="246" spans="9:9" x14ac:dyDescent="0.2">
      <c r="I246" s="62"/>
    </row>
    <row r="247" spans="9:9" x14ac:dyDescent="0.2">
      <c r="I247" s="62"/>
    </row>
    <row r="248" spans="9:9" x14ac:dyDescent="0.2">
      <c r="I248" s="62"/>
    </row>
    <row r="249" spans="9:9" x14ac:dyDescent="0.2">
      <c r="I249" s="62"/>
    </row>
    <row r="250" spans="9:9" x14ac:dyDescent="0.2">
      <c r="I250" s="62"/>
    </row>
    <row r="251" spans="9:9" x14ac:dyDescent="0.2">
      <c r="I251" s="62"/>
    </row>
    <row r="252" spans="9:9" x14ac:dyDescent="0.2">
      <c r="I252" s="62"/>
    </row>
    <row r="253" spans="9:9" x14ac:dyDescent="0.2">
      <c r="I253" s="62"/>
    </row>
    <row r="254" spans="9:9" x14ac:dyDescent="0.2">
      <c r="I254" s="62"/>
    </row>
    <row r="255" spans="9:9" x14ac:dyDescent="0.2">
      <c r="I255" s="62"/>
    </row>
    <row r="256" spans="9:9" x14ac:dyDescent="0.2">
      <c r="I256" s="62"/>
    </row>
    <row r="257" spans="9:9" x14ac:dyDescent="0.2">
      <c r="I257" s="62"/>
    </row>
    <row r="258" spans="9:9" x14ac:dyDescent="0.2">
      <c r="I258" s="62"/>
    </row>
    <row r="259" spans="9:9" x14ac:dyDescent="0.2">
      <c r="I259" s="62"/>
    </row>
    <row r="260" spans="9:9" x14ac:dyDescent="0.2">
      <c r="I260" s="62"/>
    </row>
    <row r="261" spans="9:9" x14ac:dyDescent="0.2">
      <c r="I261" s="62"/>
    </row>
    <row r="262" spans="9:9" x14ac:dyDescent="0.2">
      <c r="I262" s="62"/>
    </row>
    <row r="263" spans="9:9" x14ac:dyDescent="0.2">
      <c r="I263" s="62"/>
    </row>
    <row r="264" spans="9:9" x14ac:dyDescent="0.2">
      <c r="I264" s="62"/>
    </row>
    <row r="265" spans="9:9" x14ac:dyDescent="0.2">
      <c r="I265" s="62"/>
    </row>
    <row r="266" spans="9:9" x14ac:dyDescent="0.2">
      <c r="I266" s="62"/>
    </row>
    <row r="267" spans="9:9" x14ac:dyDescent="0.2">
      <c r="I267" s="62"/>
    </row>
    <row r="268" spans="9:9" x14ac:dyDescent="0.2">
      <c r="I268" s="62"/>
    </row>
    <row r="269" spans="9:9" x14ac:dyDescent="0.2">
      <c r="I269" s="62"/>
    </row>
    <row r="270" spans="9:9" x14ac:dyDescent="0.2">
      <c r="I270" s="62"/>
    </row>
    <row r="271" spans="9:9" x14ac:dyDescent="0.2">
      <c r="I271" s="62"/>
    </row>
    <row r="272" spans="9:9" x14ac:dyDescent="0.2">
      <c r="I272" s="62"/>
    </row>
    <row r="273" spans="9:9" x14ac:dyDescent="0.2">
      <c r="I273" s="62"/>
    </row>
    <row r="274" spans="9:9" x14ac:dyDescent="0.2">
      <c r="I274" s="62"/>
    </row>
    <row r="275" spans="9:9" x14ac:dyDescent="0.2">
      <c r="I275" s="62"/>
    </row>
    <row r="276" spans="9:9" x14ac:dyDescent="0.2">
      <c r="I276" s="62"/>
    </row>
    <row r="277" spans="9:9" x14ac:dyDescent="0.2">
      <c r="I277" s="62"/>
    </row>
    <row r="278" spans="9:9" x14ac:dyDescent="0.2">
      <c r="I278" s="62"/>
    </row>
    <row r="279" spans="9:9" x14ac:dyDescent="0.2">
      <c r="I279" s="62"/>
    </row>
    <row r="280" spans="9:9" x14ac:dyDescent="0.2">
      <c r="I280" s="62"/>
    </row>
    <row r="281" spans="9:9" x14ac:dyDescent="0.2">
      <c r="I281" s="62"/>
    </row>
    <row r="282" spans="9:9" x14ac:dyDescent="0.2">
      <c r="I282" s="62"/>
    </row>
    <row r="283" spans="9:9" x14ac:dyDescent="0.2">
      <c r="I283" s="62"/>
    </row>
    <row r="284" spans="9:9" x14ac:dyDescent="0.2">
      <c r="I284" s="62"/>
    </row>
    <row r="285" spans="9:9" x14ac:dyDescent="0.2">
      <c r="I285" s="62"/>
    </row>
    <row r="286" spans="9:9" x14ac:dyDescent="0.2">
      <c r="I286" s="62"/>
    </row>
    <row r="287" spans="9:9" x14ac:dyDescent="0.2">
      <c r="I287" s="62"/>
    </row>
    <row r="288" spans="9:9" x14ac:dyDescent="0.2">
      <c r="I288" s="62"/>
    </row>
    <row r="289" spans="9:9" x14ac:dyDescent="0.2">
      <c r="I289" s="62"/>
    </row>
    <row r="290" spans="9:9" x14ac:dyDescent="0.2">
      <c r="I290" s="62"/>
    </row>
    <row r="291" spans="9:9" x14ac:dyDescent="0.2">
      <c r="I291" s="62"/>
    </row>
    <row r="292" spans="9:9" x14ac:dyDescent="0.2">
      <c r="I292" s="62"/>
    </row>
    <row r="293" spans="9:9" x14ac:dyDescent="0.2">
      <c r="I293" s="62"/>
    </row>
    <row r="294" spans="9:9" x14ac:dyDescent="0.2">
      <c r="I294" s="62"/>
    </row>
    <row r="295" spans="9:9" x14ac:dyDescent="0.2">
      <c r="I295" s="62"/>
    </row>
    <row r="296" spans="9:9" x14ac:dyDescent="0.2">
      <c r="I296" s="62"/>
    </row>
    <row r="297" spans="9:9" x14ac:dyDescent="0.2">
      <c r="I297" s="62"/>
    </row>
    <row r="298" spans="9:9" x14ac:dyDescent="0.2">
      <c r="I298" s="62"/>
    </row>
    <row r="299" spans="9:9" x14ac:dyDescent="0.2">
      <c r="I299" s="62"/>
    </row>
    <row r="300" spans="9:9" x14ac:dyDescent="0.2">
      <c r="I300" s="62"/>
    </row>
    <row r="301" spans="9:9" x14ac:dyDescent="0.2">
      <c r="I301" s="62"/>
    </row>
    <row r="302" spans="9:9" x14ac:dyDescent="0.2">
      <c r="I302" s="62"/>
    </row>
    <row r="303" spans="9:9" x14ac:dyDescent="0.2">
      <c r="I303" s="62"/>
    </row>
    <row r="304" spans="9:9" x14ac:dyDescent="0.2">
      <c r="I304" s="62"/>
    </row>
    <row r="305" spans="9:9" x14ac:dyDescent="0.2">
      <c r="I305" s="62"/>
    </row>
    <row r="306" spans="9:9" x14ac:dyDescent="0.2">
      <c r="I306" s="62"/>
    </row>
    <row r="307" spans="9:9" x14ac:dyDescent="0.2">
      <c r="I307" s="62"/>
    </row>
    <row r="308" spans="9:9" x14ac:dyDescent="0.2">
      <c r="I308" s="62"/>
    </row>
    <row r="309" spans="9:9" x14ac:dyDescent="0.2">
      <c r="I309" s="62"/>
    </row>
    <row r="310" spans="9:9" x14ac:dyDescent="0.2">
      <c r="I310" s="62"/>
    </row>
    <row r="311" spans="9:9" x14ac:dyDescent="0.2">
      <c r="I311" s="62"/>
    </row>
    <row r="312" spans="9:9" x14ac:dyDescent="0.2">
      <c r="I312" s="62"/>
    </row>
    <row r="313" spans="9:9" x14ac:dyDescent="0.2">
      <c r="I313" s="62"/>
    </row>
    <row r="314" spans="9:9" x14ac:dyDescent="0.2">
      <c r="I314" s="62"/>
    </row>
    <row r="315" spans="9:9" x14ac:dyDescent="0.2">
      <c r="I315" s="62"/>
    </row>
    <row r="316" spans="9:9" x14ac:dyDescent="0.2">
      <c r="I316" s="62"/>
    </row>
    <row r="317" spans="9:9" x14ac:dyDescent="0.2">
      <c r="I317" s="62"/>
    </row>
    <row r="318" spans="9:9" x14ac:dyDescent="0.2">
      <c r="I318" s="62"/>
    </row>
    <row r="319" spans="9:9" x14ac:dyDescent="0.2">
      <c r="I319" s="62"/>
    </row>
    <row r="320" spans="9:9" x14ac:dyDescent="0.2">
      <c r="I320" s="62"/>
    </row>
    <row r="321" spans="9:9" x14ac:dyDescent="0.2">
      <c r="I321" s="62"/>
    </row>
    <row r="322" spans="9:9" x14ac:dyDescent="0.2">
      <c r="I322" s="62"/>
    </row>
    <row r="323" spans="9:9" x14ac:dyDescent="0.2">
      <c r="I323" s="62"/>
    </row>
    <row r="324" spans="9:9" x14ac:dyDescent="0.2">
      <c r="I324" s="62"/>
    </row>
    <row r="325" spans="9:9" x14ac:dyDescent="0.2">
      <c r="I325" s="62"/>
    </row>
    <row r="326" spans="9:9" x14ac:dyDescent="0.2">
      <c r="I326" s="62"/>
    </row>
    <row r="327" spans="9:9" x14ac:dyDescent="0.2">
      <c r="I327" s="62"/>
    </row>
    <row r="328" spans="9:9" x14ac:dyDescent="0.2">
      <c r="I328" s="62"/>
    </row>
    <row r="329" spans="9:9" x14ac:dyDescent="0.2">
      <c r="I329" s="62"/>
    </row>
    <row r="330" spans="9:9" x14ac:dyDescent="0.2">
      <c r="I330" s="62"/>
    </row>
    <row r="331" spans="9:9" x14ac:dyDescent="0.2">
      <c r="I331" s="62"/>
    </row>
    <row r="332" spans="9:9" x14ac:dyDescent="0.2">
      <c r="I332" s="62"/>
    </row>
    <row r="333" spans="9:9" x14ac:dyDescent="0.2">
      <c r="I333" s="62"/>
    </row>
    <row r="334" spans="9:9" x14ac:dyDescent="0.2">
      <c r="I334" s="62"/>
    </row>
    <row r="335" spans="9:9" x14ac:dyDescent="0.2">
      <c r="I335" s="62"/>
    </row>
    <row r="336" spans="9:9" x14ac:dyDescent="0.2">
      <c r="I336" s="62"/>
    </row>
    <row r="337" spans="9:9" x14ac:dyDescent="0.2">
      <c r="I337" s="62"/>
    </row>
    <row r="338" spans="9:9" x14ac:dyDescent="0.2">
      <c r="I338" s="62"/>
    </row>
    <row r="339" spans="9:9" x14ac:dyDescent="0.2">
      <c r="I339" s="6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ADE2-3EEE-494E-9377-36F8658688D9}">
  <dimension ref="A1:G35"/>
  <sheetViews>
    <sheetView workbookViewId="0">
      <selection activeCell="G27" sqref="G27"/>
    </sheetView>
  </sheetViews>
  <sheetFormatPr baseColWidth="10" defaultRowHeight="16" x14ac:dyDescent="0.2"/>
  <cols>
    <col min="1" max="1" width="18.5" bestFit="1" customWidth="1"/>
    <col min="2" max="2" width="28.5" bestFit="1" customWidth="1"/>
    <col min="3" max="7" width="17.83203125" bestFit="1" customWidth="1"/>
  </cols>
  <sheetData>
    <row r="1" spans="1:7" x14ac:dyDescent="0.2">
      <c r="A1" s="12" t="s">
        <v>17</v>
      </c>
      <c r="B1" s="13"/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x14ac:dyDescent="0.2">
      <c r="A2" s="13"/>
      <c r="B2" s="14" t="s">
        <v>23</v>
      </c>
      <c r="C2" s="17">
        <v>9714000000</v>
      </c>
      <c r="D2" s="17">
        <v>11716000000</v>
      </c>
      <c r="E2" s="17">
        <v>10918000000</v>
      </c>
      <c r="F2" s="17">
        <v>16675000000</v>
      </c>
      <c r="G2" s="17">
        <v>26914000000</v>
      </c>
    </row>
    <row r="3" spans="1:7" x14ac:dyDescent="0.2">
      <c r="A3" s="13"/>
      <c r="B3" s="14" t="s">
        <v>24</v>
      </c>
      <c r="C3" s="17">
        <v>3892000000</v>
      </c>
      <c r="D3" s="17">
        <v>4545000000</v>
      </c>
      <c r="E3" s="17">
        <v>4150000000</v>
      </c>
      <c r="F3" s="17">
        <v>6279000000</v>
      </c>
      <c r="G3" s="17">
        <v>9439000000</v>
      </c>
    </row>
    <row r="4" spans="1:7" x14ac:dyDescent="0.2">
      <c r="A4" s="13"/>
      <c r="B4" s="14" t="s">
        <v>25</v>
      </c>
      <c r="C4" s="17">
        <v>5822000000</v>
      </c>
      <c r="D4" s="17">
        <v>7171000000</v>
      </c>
      <c r="E4" s="17">
        <v>6768000000</v>
      </c>
      <c r="F4" s="17">
        <v>10396000000</v>
      </c>
      <c r="G4" s="17">
        <v>17475000000</v>
      </c>
    </row>
    <row r="5" spans="1:7" x14ac:dyDescent="0.2">
      <c r="A5" s="13"/>
      <c r="B5" s="14" t="s">
        <v>26</v>
      </c>
      <c r="C5" s="17">
        <v>0.59934115709285596</v>
      </c>
      <c r="D5" s="17">
        <v>0.61206896551724099</v>
      </c>
      <c r="E5" s="17">
        <v>0.61989375343469499</v>
      </c>
      <c r="F5" s="17">
        <v>0.62344827586206897</v>
      </c>
      <c r="G5" s="17">
        <v>0.64929033216913101</v>
      </c>
    </row>
    <row r="6" spans="1:7" x14ac:dyDescent="0.2">
      <c r="A6" s="13"/>
      <c r="B6" s="13"/>
      <c r="C6" s="18"/>
      <c r="D6" s="18"/>
      <c r="E6" s="18"/>
      <c r="F6" s="18"/>
      <c r="G6" s="18"/>
    </row>
    <row r="7" spans="1:7" x14ac:dyDescent="0.2">
      <c r="A7" s="12" t="s">
        <v>27</v>
      </c>
      <c r="B7" s="13"/>
      <c r="C7" s="18"/>
      <c r="D7" s="18"/>
      <c r="E7" s="18"/>
      <c r="F7" s="18"/>
      <c r="G7" s="18"/>
    </row>
    <row r="8" spans="1:7" x14ac:dyDescent="0.2">
      <c r="A8" s="13"/>
      <c r="B8" s="14" t="s">
        <v>28</v>
      </c>
      <c r="C8" s="17">
        <v>1797000000</v>
      </c>
      <c r="D8" s="17">
        <v>2376000000</v>
      </c>
      <c r="E8" s="17">
        <v>2829000000</v>
      </c>
      <c r="F8" s="17">
        <v>3924000000</v>
      </c>
      <c r="G8" s="17">
        <v>5268000000</v>
      </c>
    </row>
    <row r="9" spans="1:7" x14ac:dyDescent="0.2">
      <c r="A9" s="13"/>
      <c r="B9" s="14" t="s">
        <v>29</v>
      </c>
      <c r="C9" s="17">
        <v>815000000</v>
      </c>
      <c r="D9" s="17">
        <v>991000000</v>
      </c>
      <c r="E9" s="17">
        <v>1093000000</v>
      </c>
      <c r="F9" s="17">
        <v>0</v>
      </c>
      <c r="G9" s="17">
        <v>0</v>
      </c>
    </row>
    <row r="10" spans="1:7" x14ac:dyDescent="0.2">
      <c r="A10" s="13"/>
      <c r="B10" s="14" t="s">
        <v>30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</row>
    <row r="11" spans="1:7" x14ac:dyDescent="0.2">
      <c r="A11" s="13"/>
      <c r="B11" s="14" t="s">
        <v>31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</row>
    <row r="12" spans="1:7" x14ac:dyDescent="0.2">
      <c r="A12" s="13"/>
      <c r="B12" s="14" t="s">
        <v>32</v>
      </c>
      <c r="C12" s="17">
        <v>2612000000</v>
      </c>
      <c r="D12" s="17">
        <v>3367000000</v>
      </c>
      <c r="E12" s="17">
        <v>3922000000</v>
      </c>
      <c r="F12" s="17">
        <v>5864000000</v>
      </c>
      <c r="G12" s="17">
        <v>7434000000</v>
      </c>
    </row>
    <row r="13" spans="1:7" x14ac:dyDescent="0.2">
      <c r="A13" s="13"/>
      <c r="B13" s="14" t="s">
        <v>33</v>
      </c>
      <c r="C13" s="17">
        <v>6504000000</v>
      </c>
      <c r="D13" s="17">
        <v>7912000000</v>
      </c>
      <c r="E13" s="17">
        <v>8072000000</v>
      </c>
      <c r="F13" s="17">
        <v>12143000000</v>
      </c>
      <c r="G13" s="17">
        <v>16873000000</v>
      </c>
    </row>
    <row r="14" spans="1:7" x14ac:dyDescent="0.2">
      <c r="A14" s="13"/>
      <c r="B14" s="14" t="s">
        <v>34</v>
      </c>
      <c r="C14" s="17">
        <v>61000000</v>
      </c>
      <c r="D14" s="17">
        <v>58000000</v>
      </c>
      <c r="E14" s="17">
        <v>52000000</v>
      </c>
      <c r="F14" s="17">
        <v>184000000</v>
      </c>
      <c r="G14" s="17">
        <v>236000000</v>
      </c>
    </row>
    <row r="15" spans="1:7" x14ac:dyDescent="0.2">
      <c r="A15" s="13"/>
      <c r="B15" s="13"/>
      <c r="C15" s="18"/>
      <c r="D15" s="18"/>
      <c r="E15" s="18"/>
      <c r="F15" s="18"/>
      <c r="G15" s="18"/>
    </row>
    <row r="16" spans="1:7" x14ac:dyDescent="0.2">
      <c r="A16" s="12" t="s">
        <v>35</v>
      </c>
      <c r="B16" s="13"/>
      <c r="C16" s="18"/>
      <c r="D16" s="18"/>
      <c r="E16" s="18"/>
      <c r="F16" s="18"/>
      <c r="G16" s="18"/>
    </row>
    <row r="17" spans="1:7" x14ac:dyDescent="0.2">
      <c r="A17" s="13"/>
      <c r="B17" s="14" t="s">
        <v>36</v>
      </c>
      <c r="C17" s="17">
        <v>199000000</v>
      </c>
      <c r="D17" s="17">
        <v>262000000</v>
      </c>
      <c r="E17" s="17">
        <v>381000000</v>
      </c>
      <c r="F17" s="17">
        <v>1098000000</v>
      </c>
      <c r="G17" s="17">
        <v>1174000000</v>
      </c>
    </row>
    <row r="18" spans="1:7" x14ac:dyDescent="0.2">
      <c r="A18" s="13"/>
      <c r="B18" s="14" t="s">
        <v>35</v>
      </c>
      <c r="C18" s="17">
        <v>3589000000</v>
      </c>
      <c r="D18" s="17">
        <v>4584000000</v>
      </c>
      <c r="E18" s="17">
        <v>3403000000</v>
      </c>
      <c r="F18" s="17">
        <v>5691000000</v>
      </c>
      <c r="G18" s="17">
        <v>11351000000</v>
      </c>
    </row>
    <row r="19" spans="1:7" x14ac:dyDescent="0.2">
      <c r="A19" s="13"/>
      <c r="B19" s="14" t="s">
        <v>37</v>
      </c>
      <c r="C19" s="17">
        <v>0.36946674902203003</v>
      </c>
      <c r="D19" s="17">
        <v>0.39125981563673601</v>
      </c>
      <c r="E19" s="17">
        <v>0.31168712218354999</v>
      </c>
      <c r="F19" s="17">
        <v>0.34128935532233901</v>
      </c>
      <c r="G19" s="17">
        <v>0.42175076168536801</v>
      </c>
    </row>
    <row r="20" spans="1:7" x14ac:dyDescent="0.2">
      <c r="A20" s="13"/>
      <c r="B20" s="13"/>
      <c r="C20" s="18"/>
      <c r="D20" s="18"/>
      <c r="E20" s="18"/>
      <c r="F20" s="18"/>
      <c r="G20" s="18"/>
    </row>
    <row r="21" spans="1:7" x14ac:dyDescent="0.2">
      <c r="A21" s="12" t="s">
        <v>38</v>
      </c>
      <c r="B21" s="13"/>
      <c r="C21" s="18"/>
      <c r="D21" s="18"/>
      <c r="E21" s="18"/>
      <c r="F21" s="18"/>
      <c r="G21" s="18"/>
    </row>
    <row r="22" spans="1:7" x14ac:dyDescent="0.2">
      <c r="A22" s="13"/>
      <c r="B22" s="14" t="s">
        <v>39</v>
      </c>
      <c r="C22" s="17">
        <v>3210000000</v>
      </c>
      <c r="D22" s="17">
        <v>3804000000</v>
      </c>
      <c r="E22" s="17">
        <v>2846000000</v>
      </c>
      <c r="F22" s="17">
        <v>4532000000</v>
      </c>
      <c r="G22" s="17">
        <v>10041000000</v>
      </c>
    </row>
    <row r="23" spans="1:7" x14ac:dyDescent="0.2">
      <c r="A23" s="13"/>
      <c r="B23" s="14" t="s">
        <v>40</v>
      </c>
      <c r="C23" s="17">
        <v>0.33045089561457702</v>
      </c>
      <c r="D23" s="17">
        <v>0.324684192557187</v>
      </c>
      <c r="E23" s="17">
        <v>0.26067045246382098</v>
      </c>
      <c r="F23" s="17">
        <v>0.27178410794602698</v>
      </c>
      <c r="G23" s="17">
        <v>0.37307720888756801</v>
      </c>
    </row>
    <row r="24" spans="1:7" x14ac:dyDescent="0.2">
      <c r="A24" s="13"/>
      <c r="B24" s="14" t="s">
        <v>41</v>
      </c>
      <c r="C24" s="17">
        <v>-14000000</v>
      </c>
      <c r="D24" s="17">
        <v>92000000</v>
      </c>
      <c r="E24" s="17">
        <v>124000000</v>
      </c>
      <c r="F24" s="17">
        <v>-123000000</v>
      </c>
      <c r="G24" s="17">
        <v>-100000000</v>
      </c>
    </row>
    <row r="25" spans="1:7" x14ac:dyDescent="0.2">
      <c r="A25" s="13"/>
      <c r="B25" s="14" t="s">
        <v>42</v>
      </c>
      <c r="C25" s="17">
        <v>3196000000</v>
      </c>
      <c r="D25" s="17">
        <v>3896000000</v>
      </c>
      <c r="E25" s="17">
        <v>2970000000</v>
      </c>
      <c r="F25" s="17">
        <v>4409000000</v>
      </c>
      <c r="G25" s="17">
        <v>9941000000</v>
      </c>
    </row>
    <row r="26" spans="1:7" x14ac:dyDescent="0.2">
      <c r="A26" s="13"/>
      <c r="B26" s="14" t="s">
        <v>43</v>
      </c>
      <c r="C26" s="17">
        <v>0.32900967675519899</v>
      </c>
      <c r="D26" s="17">
        <v>0.332536701946057</v>
      </c>
      <c r="E26" s="17">
        <v>0.27202784392745899</v>
      </c>
      <c r="F26" s="17">
        <v>0.26440779610194898</v>
      </c>
      <c r="G26" s="17">
        <v>0.36936167050605601</v>
      </c>
    </row>
    <row r="27" spans="1:7" x14ac:dyDescent="0.2">
      <c r="A27" s="13"/>
      <c r="B27" s="14" t="s">
        <v>44</v>
      </c>
      <c r="C27" s="17">
        <v>282000000</v>
      </c>
      <c r="D27" s="17">
        <v>123000000</v>
      </c>
      <c r="E27" s="17">
        <v>174000000</v>
      </c>
      <c r="F27" s="17">
        <v>77000000</v>
      </c>
      <c r="G27" s="17">
        <v>189000000</v>
      </c>
    </row>
    <row r="28" spans="1:7" x14ac:dyDescent="0.2">
      <c r="A28" s="13"/>
      <c r="B28" s="14" t="s">
        <v>45</v>
      </c>
      <c r="C28" s="17">
        <v>3047000000</v>
      </c>
      <c r="D28" s="17">
        <v>4141000000</v>
      </c>
      <c r="E28" s="17">
        <v>2796000000</v>
      </c>
      <c r="F28" s="17">
        <v>4332000000</v>
      </c>
      <c r="G28" s="17">
        <v>9752000000</v>
      </c>
    </row>
    <row r="29" spans="1:7" x14ac:dyDescent="0.2">
      <c r="A29" s="13"/>
      <c r="B29" s="14" t="s">
        <v>46</v>
      </c>
      <c r="C29" s="17">
        <v>0.31367099032324502</v>
      </c>
      <c r="D29" s="17">
        <v>0.35344827586206901</v>
      </c>
      <c r="E29" s="17">
        <v>0.25609085913170898</v>
      </c>
      <c r="F29" s="17">
        <v>0.25979010494752602</v>
      </c>
      <c r="G29" s="17">
        <v>0.362339302965</v>
      </c>
    </row>
    <row r="30" spans="1:7" x14ac:dyDescent="0.2">
      <c r="A30" s="13"/>
      <c r="B30" s="13"/>
      <c r="C30" s="18"/>
      <c r="D30" s="18"/>
      <c r="E30" s="18"/>
      <c r="F30" s="18"/>
      <c r="G30" s="18"/>
    </row>
    <row r="31" spans="1:7" x14ac:dyDescent="0.2">
      <c r="A31" s="12" t="s">
        <v>47</v>
      </c>
      <c r="B31" s="13"/>
      <c r="C31" s="18"/>
      <c r="D31" s="18"/>
      <c r="E31" s="18"/>
      <c r="F31" s="18"/>
      <c r="G31" s="18"/>
    </row>
    <row r="32" spans="1:7" x14ac:dyDescent="0.2">
      <c r="A32" s="13"/>
      <c r="B32" s="14" t="s">
        <v>47</v>
      </c>
      <c r="C32" s="17">
        <v>1.2725</v>
      </c>
      <c r="D32" s="17">
        <v>1.7024999999999999</v>
      </c>
      <c r="E32" s="17">
        <v>1.1475</v>
      </c>
      <c r="F32" s="17">
        <v>1.7549999999999999</v>
      </c>
      <c r="G32" s="17">
        <v>3.9023609443777501</v>
      </c>
    </row>
    <row r="33" spans="1:7" x14ac:dyDescent="0.2">
      <c r="A33" s="13"/>
      <c r="B33" s="14" t="s">
        <v>48</v>
      </c>
      <c r="C33" s="17">
        <v>1.2050000000000001</v>
      </c>
      <c r="D33" s="17">
        <v>1.6575</v>
      </c>
      <c r="E33" s="17">
        <v>1.1299999999999999</v>
      </c>
      <c r="F33" s="17">
        <v>1.7250000000000001</v>
      </c>
      <c r="G33" s="17">
        <v>3.8423955870764401</v>
      </c>
    </row>
    <row r="34" spans="1:7" x14ac:dyDescent="0.2">
      <c r="A34" s="13"/>
      <c r="B34" s="14" t="s">
        <v>49</v>
      </c>
      <c r="C34" s="17">
        <v>2396000000</v>
      </c>
      <c r="D34" s="17">
        <v>2432000000</v>
      </c>
      <c r="E34" s="17">
        <v>2436000000</v>
      </c>
      <c r="F34" s="17">
        <v>2468000000</v>
      </c>
      <c r="G34" s="17">
        <v>2504000000</v>
      </c>
    </row>
    <row r="35" spans="1:7" x14ac:dyDescent="0.2">
      <c r="A35" s="13"/>
      <c r="B35" s="14" t="s">
        <v>50</v>
      </c>
      <c r="C35" s="17">
        <v>2528000000</v>
      </c>
      <c r="D35" s="17">
        <v>2500000000</v>
      </c>
      <c r="E35" s="17">
        <v>2472000000</v>
      </c>
      <c r="F35" s="17">
        <v>2512000000</v>
      </c>
      <c r="G35" s="17">
        <v>2545000000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663F-2F15-0B4B-AEE9-1E508B4A79CE}">
  <dimension ref="A1:G58"/>
  <sheetViews>
    <sheetView workbookViewId="0">
      <selection activeCell="G4" sqref="G4"/>
    </sheetView>
  </sheetViews>
  <sheetFormatPr baseColWidth="10" defaultRowHeight="16" x14ac:dyDescent="0.2"/>
  <cols>
    <col min="1" max="1" width="21.6640625" bestFit="1" customWidth="1"/>
    <col min="2" max="2" width="36.5" bestFit="1" customWidth="1"/>
    <col min="3" max="7" width="14.6640625" bestFit="1" customWidth="1"/>
  </cols>
  <sheetData>
    <row r="1" spans="1:7" x14ac:dyDescent="0.2">
      <c r="A1" s="12" t="s">
        <v>17</v>
      </c>
      <c r="B1" s="13"/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7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12" t="s">
        <v>51</v>
      </c>
      <c r="B3" s="14" t="s">
        <v>52</v>
      </c>
      <c r="C3" s="13"/>
      <c r="D3" s="13"/>
      <c r="E3" s="13"/>
      <c r="F3" s="13"/>
      <c r="G3" s="13"/>
    </row>
    <row r="4" spans="1:7" x14ac:dyDescent="0.2">
      <c r="A4" s="13"/>
      <c r="B4" s="14" t="s">
        <v>53</v>
      </c>
      <c r="C4" s="17">
        <v>4002000000</v>
      </c>
      <c r="D4" s="17">
        <v>782000000</v>
      </c>
      <c r="E4" s="17">
        <v>10896000000</v>
      </c>
      <c r="F4" s="17">
        <v>847000000</v>
      </c>
      <c r="G4" s="17">
        <v>1990000000</v>
      </c>
    </row>
    <row r="5" spans="1:7" x14ac:dyDescent="0.2">
      <c r="A5" s="13"/>
      <c r="B5" s="14" t="s">
        <v>54</v>
      </c>
      <c r="C5" s="17">
        <v>3106000000</v>
      </c>
      <c r="D5" s="17">
        <v>6640000000</v>
      </c>
      <c r="E5" s="17">
        <v>1000000</v>
      </c>
      <c r="F5" s="17">
        <v>10714000000</v>
      </c>
      <c r="G5" s="17">
        <v>19218000000</v>
      </c>
    </row>
    <row r="6" spans="1:7" x14ac:dyDescent="0.2">
      <c r="A6" s="13"/>
      <c r="B6" s="14" t="s">
        <v>55</v>
      </c>
      <c r="C6" s="17">
        <v>7108000000</v>
      </c>
      <c r="D6" s="17">
        <v>7422000000</v>
      </c>
      <c r="E6" s="17">
        <v>10897000000</v>
      </c>
      <c r="F6" s="17">
        <v>11561000000</v>
      </c>
      <c r="G6" s="17">
        <v>21208000000</v>
      </c>
    </row>
    <row r="7" spans="1:7" x14ac:dyDescent="0.2">
      <c r="A7" s="13"/>
      <c r="B7" s="14" t="s">
        <v>56</v>
      </c>
      <c r="C7" s="17">
        <v>1265000000</v>
      </c>
      <c r="D7" s="17">
        <v>1424000000</v>
      </c>
      <c r="E7" s="17">
        <v>1657000000</v>
      </c>
      <c r="F7" s="17">
        <v>2429000000</v>
      </c>
      <c r="G7" s="17">
        <v>4650000000</v>
      </c>
    </row>
    <row r="8" spans="1:7" x14ac:dyDescent="0.2">
      <c r="A8" s="13"/>
      <c r="B8" s="14" t="s">
        <v>57</v>
      </c>
      <c r="C8" s="17">
        <v>796000000</v>
      </c>
      <c r="D8" s="17">
        <v>1575000000</v>
      </c>
      <c r="E8" s="17">
        <v>979000000</v>
      </c>
      <c r="F8" s="17">
        <v>1826000000</v>
      </c>
      <c r="G8" s="17">
        <v>2605000000</v>
      </c>
    </row>
    <row r="9" spans="1:7" x14ac:dyDescent="0.2">
      <c r="A9" s="13"/>
      <c r="B9" s="14" t="s">
        <v>58</v>
      </c>
      <c r="C9" s="17">
        <v>86000000</v>
      </c>
      <c r="D9" s="17">
        <v>136000000</v>
      </c>
      <c r="E9" s="17">
        <v>157000000</v>
      </c>
      <c r="F9" s="17">
        <v>239000000</v>
      </c>
      <c r="G9" s="17">
        <v>366000000</v>
      </c>
    </row>
    <row r="10" spans="1:7" x14ac:dyDescent="0.2">
      <c r="A10" s="13"/>
      <c r="B10" s="14" t="s">
        <v>59</v>
      </c>
      <c r="C10" s="17">
        <v>9255000000</v>
      </c>
      <c r="D10" s="17">
        <v>10557000000</v>
      </c>
      <c r="E10" s="17">
        <v>13690000000</v>
      </c>
      <c r="F10" s="17">
        <v>16055000000</v>
      </c>
      <c r="G10" s="17">
        <v>28829000000</v>
      </c>
    </row>
    <row r="11" spans="1:7" x14ac:dyDescent="0.2">
      <c r="A11" s="13"/>
      <c r="B11" s="13"/>
      <c r="C11" s="18"/>
      <c r="D11" s="18"/>
      <c r="E11" s="18"/>
      <c r="F11" s="18"/>
      <c r="G11" s="18"/>
    </row>
    <row r="12" spans="1:7" x14ac:dyDescent="0.2">
      <c r="A12" s="13"/>
      <c r="B12" s="14" t="s">
        <v>60</v>
      </c>
      <c r="C12" s="18"/>
      <c r="D12" s="18"/>
      <c r="E12" s="18"/>
      <c r="F12" s="18"/>
      <c r="G12" s="18"/>
    </row>
    <row r="13" spans="1:7" x14ac:dyDescent="0.2">
      <c r="A13" s="13"/>
      <c r="B13" s="14" t="s">
        <v>61</v>
      </c>
      <c r="C13" s="17">
        <v>997000000</v>
      </c>
      <c r="D13" s="17">
        <v>1404000000</v>
      </c>
      <c r="E13" s="17">
        <v>2292000000</v>
      </c>
      <c r="F13" s="17">
        <v>2856000000</v>
      </c>
      <c r="G13" s="17">
        <v>3607000000</v>
      </c>
    </row>
    <row r="14" spans="1:7" x14ac:dyDescent="0.2">
      <c r="A14" s="13"/>
      <c r="B14" s="14" t="s">
        <v>62</v>
      </c>
      <c r="C14" s="17">
        <v>618000000</v>
      </c>
      <c r="D14" s="17">
        <v>618000000</v>
      </c>
      <c r="E14" s="17">
        <v>618000000</v>
      </c>
      <c r="F14" s="17">
        <v>4193000000</v>
      </c>
      <c r="G14" s="17">
        <v>4349000000</v>
      </c>
    </row>
    <row r="15" spans="1:7" x14ac:dyDescent="0.2">
      <c r="A15" s="13"/>
      <c r="B15" s="14" t="s">
        <v>63</v>
      </c>
      <c r="C15" s="17">
        <v>52000000</v>
      </c>
      <c r="D15" s="17">
        <v>45000000</v>
      </c>
      <c r="E15" s="17">
        <v>49000000</v>
      </c>
      <c r="F15" s="17">
        <v>2737000000</v>
      </c>
      <c r="G15" s="17">
        <v>2339000000</v>
      </c>
    </row>
    <row r="16" spans="1:7" x14ac:dyDescent="0.2">
      <c r="A16" s="13"/>
      <c r="B16" s="14" t="s">
        <v>64</v>
      </c>
      <c r="C16" s="17">
        <v>670000000</v>
      </c>
      <c r="D16" s="17">
        <v>663000000</v>
      </c>
      <c r="E16" s="17">
        <v>667000000</v>
      </c>
      <c r="F16" s="17">
        <v>6930000000</v>
      </c>
      <c r="G16" s="17">
        <v>6688000000</v>
      </c>
    </row>
    <row r="17" spans="1:7" x14ac:dyDescent="0.2">
      <c r="A17" s="13"/>
      <c r="B17" s="14" t="s">
        <v>65</v>
      </c>
      <c r="C17" s="17">
        <v>0</v>
      </c>
      <c r="D17" s="17">
        <v>0</v>
      </c>
      <c r="E17" s="17">
        <v>0</v>
      </c>
      <c r="F17" s="17">
        <v>144000000</v>
      </c>
      <c r="G17" s="17">
        <v>266000000</v>
      </c>
    </row>
    <row r="18" spans="1:7" x14ac:dyDescent="0.2">
      <c r="A18" s="13"/>
      <c r="B18" s="14" t="s">
        <v>66</v>
      </c>
      <c r="C18" s="17">
        <v>18000000</v>
      </c>
      <c r="D18" s="17">
        <v>19000000</v>
      </c>
      <c r="E18" s="17">
        <v>29000000</v>
      </c>
      <c r="F18" s="17">
        <v>806000000</v>
      </c>
      <c r="G18" s="17">
        <v>1222000000</v>
      </c>
    </row>
    <row r="19" spans="1:7" x14ac:dyDescent="0.2">
      <c r="A19" s="13"/>
      <c r="B19" s="14" t="s">
        <v>67</v>
      </c>
      <c r="C19" s="17">
        <v>301000000</v>
      </c>
      <c r="D19" s="17">
        <v>649000000</v>
      </c>
      <c r="E19" s="17">
        <v>637000000</v>
      </c>
      <c r="F19" s="17">
        <v>2000000000</v>
      </c>
      <c r="G19" s="17">
        <v>3575000000</v>
      </c>
    </row>
    <row r="20" spans="1:7" x14ac:dyDescent="0.2">
      <c r="A20" s="13"/>
      <c r="B20" s="14" t="s">
        <v>68</v>
      </c>
      <c r="C20" s="17">
        <v>1986000000</v>
      </c>
      <c r="D20" s="17">
        <v>2735000000</v>
      </c>
      <c r="E20" s="17">
        <v>3625000000</v>
      </c>
      <c r="F20" s="17">
        <v>12736000000</v>
      </c>
      <c r="G20" s="17">
        <v>15358000000</v>
      </c>
    </row>
    <row r="21" spans="1:7" x14ac:dyDescent="0.2">
      <c r="A21" s="13"/>
      <c r="B21" s="13"/>
      <c r="C21" s="18"/>
      <c r="D21" s="18"/>
      <c r="E21" s="18"/>
      <c r="F21" s="18"/>
      <c r="G21" s="18"/>
    </row>
    <row r="22" spans="1:7" x14ac:dyDescent="0.2">
      <c r="A22" s="13"/>
      <c r="B22" s="14" t="s">
        <v>69</v>
      </c>
      <c r="C22" s="18"/>
      <c r="D22" s="18"/>
      <c r="E22" s="18"/>
      <c r="F22" s="18"/>
      <c r="G22" s="18"/>
    </row>
    <row r="23" spans="1:7" x14ac:dyDescent="0.2">
      <c r="A23" s="13"/>
      <c r="B23" s="14" t="s">
        <v>70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</row>
    <row r="24" spans="1:7" x14ac:dyDescent="0.2">
      <c r="A24" s="13"/>
      <c r="B24" s="14" t="s">
        <v>71</v>
      </c>
      <c r="C24" s="17">
        <v>11241000000</v>
      </c>
      <c r="D24" s="17">
        <v>13292000000</v>
      </c>
      <c r="E24" s="17">
        <v>17315000000</v>
      </c>
      <c r="F24" s="17">
        <v>28791000000</v>
      </c>
      <c r="G24" s="17">
        <v>44187000000</v>
      </c>
    </row>
    <row r="25" spans="1:7" x14ac:dyDescent="0.2">
      <c r="A25" s="13"/>
      <c r="B25" s="13"/>
      <c r="C25" s="18"/>
      <c r="D25" s="18"/>
      <c r="E25" s="18"/>
      <c r="F25" s="18"/>
      <c r="G25" s="18"/>
    </row>
    <row r="26" spans="1:7" x14ac:dyDescent="0.2">
      <c r="A26" s="12" t="s">
        <v>72</v>
      </c>
      <c r="B26" s="14" t="s">
        <v>73</v>
      </c>
      <c r="C26" s="18"/>
      <c r="D26" s="18"/>
      <c r="E26" s="18"/>
      <c r="F26" s="18"/>
      <c r="G26" s="18"/>
    </row>
    <row r="27" spans="1:7" x14ac:dyDescent="0.2">
      <c r="A27" s="13"/>
      <c r="B27" s="14" t="s">
        <v>74</v>
      </c>
      <c r="C27" s="17">
        <v>596000000</v>
      </c>
      <c r="D27" s="17">
        <v>511000000</v>
      </c>
      <c r="E27" s="17">
        <v>687000000</v>
      </c>
      <c r="F27" s="17">
        <v>1201000000</v>
      </c>
      <c r="G27" s="17">
        <v>1783000000</v>
      </c>
    </row>
    <row r="28" spans="1:7" x14ac:dyDescent="0.2">
      <c r="A28" s="13"/>
      <c r="B28" s="14" t="s">
        <v>75</v>
      </c>
      <c r="C28" s="17">
        <v>15000000</v>
      </c>
      <c r="D28" s="17">
        <v>0</v>
      </c>
      <c r="E28" s="17">
        <v>91000000</v>
      </c>
      <c r="F28" s="17">
        <v>1120000000</v>
      </c>
      <c r="G28" s="17">
        <v>0</v>
      </c>
    </row>
    <row r="29" spans="1:7" x14ac:dyDescent="0.2">
      <c r="A29" s="13"/>
      <c r="B29" s="14" t="s">
        <v>76</v>
      </c>
      <c r="C29" s="17">
        <v>33000000</v>
      </c>
      <c r="D29" s="17">
        <v>91000000</v>
      </c>
      <c r="E29" s="17">
        <v>61000000</v>
      </c>
      <c r="F29" s="17">
        <v>61000000</v>
      </c>
      <c r="G29" s="17">
        <v>0</v>
      </c>
    </row>
    <row r="30" spans="1:7" x14ac:dyDescent="0.2">
      <c r="A30" s="13"/>
      <c r="B30" s="14" t="s">
        <v>77</v>
      </c>
      <c r="C30" s="17">
        <v>0</v>
      </c>
      <c r="D30" s="17">
        <v>0</v>
      </c>
      <c r="E30" s="17">
        <v>548000000</v>
      </c>
      <c r="F30" s="17">
        <v>288000000</v>
      </c>
      <c r="G30" s="17">
        <v>300000000</v>
      </c>
    </row>
    <row r="31" spans="1:7" x14ac:dyDescent="0.2">
      <c r="A31" s="13"/>
      <c r="B31" s="14" t="s">
        <v>78</v>
      </c>
      <c r="C31" s="17">
        <v>542000000</v>
      </c>
      <c r="D31" s="17">
        <v>818000000</v>
      </c>
      <c r="E31" s="17">
        <v>458000000</v>
      </c>
      <c r="F31" s="17">
        <v>1316000000</v>
      </c>
      <c r="G31" s="17">
        <v>2252000000</v>
      </c>
    </row>
    <row r="32" spans="1:7" x14ac:dyDescent="0.2">
      <c r="A32" s="13"/>
      <c r="B32" s="14" t="s">
        <v>79</v>
      </c>
      <c r="C32" s="17">
        <v>1153000000</v>
      </c>
      <c r="D32" s="17">
        <v>1329000000</v>
      </c>
      <c r="E32" s="17">
        <v>1784000000</v>
      </c>
      <c r="F32" s="17">
        <v>3925000000</v>
      </c>
      <c r="G32" s="17">
        <v>4335000000</v>
      </c>
    </row>
    <row r="33" spans="1:7" x14ac:dyDescent="0.2">
      <c r="A33" s="13"/>
      <c r="B33" s="13"/>
      <c r="C33" s="18"/>
      <c r="D33" s="18"/>
      <c r="E33" s="18"/>
      <c r="F33" s="18"/>
      <c r="G33" s="18"/>
    </row>
    <row r="34" spans="1:7" x14ac:dyDescent="0.2">
      <c r="A34" s="13"/>
      <c r="B34" s="14" t="s">
        <v>80</v>
      </c>
      <c r="C34" s="18"/>
      <c r="D34" s="18"/>
      <c r="E34" s="18"/>
      <c r="F34" s="18"/>
      <c r="G34" s="18"/>
    </row>
    <row r="35" spans="1:7" x14ac:dyDescent="0.2">
      <c r="A35" s="13"/>
      <c r="B35" s="14" t="s">
        <v>81</v>
      </c>
      <c r="C35" s="17">
        <v>1985000000</v>
      </c>
      <c r="D35" s="17">
        <v>1988000000</v>
      </c>
      <c r="E35" s="17">
        <v>1991000000</v>
      </c>
      <c r="F35" s="17">
        <v>5964000000</v>
      </c>
      <c r="G35" s="17">
        <v>11687000000</v>
      </c>
    </row>
    <row r="36" spans="1:7" x14ac:dyDescent="0.2">
      <c r="A36" s="13"/>
      <c r="B36" s="14" t="s">
        <v>82</v>
      </c>
      <c r="C36" s="17">
        <v>0</v>
      </c>
      <c r="D36" s="17">
        <v>0</v>
      </c>
      <c r="E36" s="17">
        <v>0</v>
      </c>
      <c r="F36" s="17">
        <v>163000000</v>
      </c>
      <c r="G36" s="17">
        <v>202000000</v>
      </c>
    </row>
    <row r="37" spans="1:7" x14ac:dyDescent="0.2">
      <c r="A37" s="13"/>
      <c r="B37" s="14" t="s">
        <v>83</v>
      </c>
      <c r="C37" s="17">
        <v>0</v>
      </c>
      <c r="D37" s="17">
        <v>0</v>
      </c>
      <c r="E37" s="17">
        <v>0</v>
      </c>
      <c r="F37" s="17">
        <v>241000000</v>
      </c>
      <c r="G37" s="17">
        <v>245000000</v>
      </c>
    </row>
    <row r="38" spans="1:7" x14ac:dyDescent="0.2">
      <c r="A38" s="13"/>
      <c r="B38" s="14" t="s">
        <v>84</v>
      </c>
      <c r="C38" s="17">
        <v>632000000</v>
      </c>
      <c r="D38" s="17">
        <v>633000000</v>
      </c>
      <c r="E38" s="17">
        <v>1336000000</v>
      </c>
      <c r="F38" s="17">
        <v>1605000000</v>
      </c>
      <c r="G38" s="17">
        <v>1106000000</v>
      </c>
    </row>
    <row r="39" spans="1:7" x14ac:dyDescent="0.2">
      <c r="A39" s="13"/>
      <c r="B39" s="14" t="s">
        <v>85</v>
      </c>
      <c r="C39" s="17">
        <v>2617000000</v>
      </c>
      <c r="D39" s="17">
        <v>2621000000</v>
      </c>
      <c r="E39" s="17">
        <v>3327000000</v>
      </c>
      <c r="F39" s="17">
        <v>7973000000</v>
      </c>
      <c r="G39" s="17">
        <v>13240000000</v>
      </c>
    </row>
    <row r="40" spans="1:7" x14ac:dyDescent="0.2">
      <c r="A40" s="13"/>
      <c r="B40" s="13"/>
      <c r="C40" s="18"/>
      <c r="D40" s="18"/>
      <c r="E40" s="18"/>
      <c r="F40" s="18"/>
      <c r="G40" s="18"/>
    </row>
    <row r="41" spans="1:7" x14ac:dyDescent="0.2">
      <c r="A41" s="13"/>
      <c r="B41" s="14" t="s">
        <v>86</v>
      </c>
      <c r="C41" s="18"/>
      <c r="D41" s="18"/>
      <c r="E41" s="18"/>
      <c r="F41" s="18"/>
      <c r="G41" s="18"/>
    </row>
    <row r="42" spans="1:7" x14ac:dyDescent="0.2">
      <c r="A42" s="13"/>
      <c r="B42" s="14" t="s">
        <v>87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</row>
    <row r="43" spans="1:7" x14ac:dyDescent="0.2">
      <c r="A43" s="13"/>
      <c r="B43" s="14" t="s">
        <v>88</v>
      </c>
      <c r="C43" s="17">
        <v>3770000000</v>
      </c>
      <c r="D43" s="17">
        <v>3950000000</v>
      </c>
      <c r="E43" s="17">
        <v>5111000000</v>
      </c>
      <c r="F43" s="17">
        <v>11898000000</v>
      </c>
      <c r="G43" s="17">
        <v>17575000000</v>
      </c>
    </row>
    <row r="44" spans="1:7" x14ac:dyDescent="0.2">
      <c r="A44" s="13"/>
      <c r="B44" s="13"/>
      <c r="C44" s="18"/>
      <c r="D44" s="18"/>
      <c r="E44" s="18"/>
      <c r="F44" s="18"/>
      <c r="G44" s="18"/>
    </row>
    <row r="45" spans="1:7" x14ac:dyDescent="0.2">
      <c r="A45" s="12" t="s">
        <v>89</v>
      </c>
      <c r="B45" s="14" t="s">
        <v>89</v>
      </c>
      <c r="C45" s="18"/>
      <c r="D45" s="18"/>
      <c r="E45" s="18"/>
      <c r="F45" s="18"/>
      <c r="G45" s="18"/>
    </row>
    <row r="46" spans="1:7" x14ac:dyDescent="0.2">
      <c r="A46" s="13"/>
      <c r="B46" s="14" t="s">
        <v>90</v>
      </c>
      <c r="C46" s="17">
        <v>1000000</v>
      </c>
      <c r="D46" s="17">
        <v>1000000</v>
      </c>
      <c r="E46" s="17">
        <v>1000000</v>
      </c>
      <c r="F46" s="17">
        <v>1000000</v>
      </c>
      <c r="G46" s="17">
        <v>3000000</v>
      </c>
    </row>
    <row r="47" spans="1:7" x14ac:dyDescent="0.2">
      <c r="A47" s="13"/>
      <c r="B47" s="14" t="s">
        <v>91</v>
      </c>
      <c r="C47" s="17">
        <v>8787000000</v>
      </c>
      <c r="D47" s="17">
        <v>12565000000</v>
      </c>
      <c r="E47" s="17">
        <v>14971000000</v>
      </c>
      <c r="F47" s="17">
        <v>18908000000</v>
      </c>
      <c r="G47" s="17">
        <v>16235000000</v>
      </c>
    </row>
    <row r="48" spans="1:7" x14ac:dyDescent="0.2">
      <c r="A48" s="13"/>
      <c r="B48" s="14" t="s">
        <v>92</v>
      </c>
      <c r="C48" s="17">
        <v>-18000000</v>
      </c>
      <c r="D48" s="17">
        <v>-12000000</v>
      </c>
      <c r="E48" s="17">
        <v>1000000</v>
      </c>
      <c r="F48" s="17">
        <v>19000000</v>
      </c>
      <c r="G48" s="17">
        <v>-11000000</v>
      </c>
    </row>
    <row r="49" spans="1:7" x14ac:dyDescent="0.2">
      <c r="A49" s="13"/>
      <c r="B49" s="14" t="s">
        <v>93</v>
      </c>
      <c r="C49" s="17">
        <v>-1299000000</v>
      </c>
      <c r="D49" s="17">
        <v>-3212000000</v>
      </c>
      <c r="E49" s="17">
        <v>-2769000000</v>
      </c>
      <c r="F49" s="17">
        <v>-2035000000</v>
      </c>
      <c r="G49" s="17">
        <v>10385000000</v>
      </c>
    </row>
    <row r="50" spans="1:7" x14ac:dyDescent="0.2">
      <c r="A50" s="13"/>
      <c r="B50" s="14" t="s">
        <v>94</v>
      </c>
      <c r="C50" s="17">
        <v>7471000000</v>
      </c>
      <c r="D50" s="17">
        <v>9342000000</v>
      </c>
      <c r="E50" s="17">
        <v>12204000000</v>
      </c>
      <c r="F50" s="17">
        <v>16893000000</v>
      </c>
      <c r="G50" s="17">
        <v>26612000000</v>
      </c>
    </row>
    <row r="51" spans="1:7" x14ac:dyDescent="0.2">
      <c r="A51" s="13"/>
      <c r="B51" s="13"/>
      <c r="C51" s="18"/>
      <c r="D51" s="18"/>
      <c r="E51" s="18"/>
      <c r="F51" s="18"/>
      <c r="G51" s="18"/>
    </row>
    <row r="52" spans="1:7" x14ac:dyDescent="0.2">
      <c r="A52" s="12" t="s">
        <v>95</v>
      </c>
      <c r="B52" s="14" t="s">
        <v>95</v>
      </c>
      <c r="C52" s="18"/>
      <c r="D52" s="18"/>
      <c r="E52" s="18"/>
      <c r="F52" s="18"/>
      <c r="G52" s="18"/>
    </row>
    <row r="53" spans="1:7" x14ac:dyDescent="0.2">
      <c r="A53" s="13"/>
      <c r="B53" s="14" t="s">
        <v>96</v>
      </c>
      <c r="C53" s="17">
        <v>11241000000</v>
      </c>
      <c r="D53" s="17">
        <v>13292000000</v>
      </c>
      <c r="E53" s="17">
        <v>17315000000</v>
      </c>
      <c r="F53" s="17">
        <v>28791000000</v>
      </c>
      <c r="G53" s="17">
        <v>44187000000</v>
      </c>
    </row>
    <row r="54" spans="1:7" x14ac:dyDescent="0.2">
      <c r="A54" s="13"/>
      <c r="B54" s="13"/>
      <c r="C54" s="18"/>
      <c r="D54" s="18"/>
      <c r="E54" s="18"/>
      <c r="F54" s="18"/>
      <c r="G54" s="18"/>
    </row>
    <row r="55" spans="1:7" x14ac:dyDescent="0.2">
      <c r="A55" s="12" t="s">
        <v>97</v>
      </c>
      <c r="B55" s="14" t="s">
        <v>97</v>
      </c>
      <c r="C55" s="18"/>
      <c r="D55" s="18"/>
      <c r="E55" s="18"/>
      <c r="F55" s="18"/>
      <c r="G55" s="18"/>
    </row>
    <row r="56" spans="1:7" x14ac:dyDescent="0.2">
      <c r="A56" s="13"/>
      <c r="B56" s="14" t="s">
        <v>98</v>
      </c>
      <c r="C56" s="17">
        <v>0</v>
      </c>
      <c r="D56" s="17">
        <v>0</v>
      </c>
      <c r="E56" s="17">
        <v>0</v>
      </c>
      <c r="F56" s="17">
        <v>10858000000</v>
      </c>
      <c r="G56" s="17">
        <v>19484000000</v>
      </c>
    </row>
    <row r="57" spans="1:7" x14ac:dyDescent="0.2">
      <c r="A57" s="13"/>
      <c r="B57" s="14" t="s">
        <v>99</v>
      </c>
      <c r="C57" s="17">
        <v>2000000000</v>
      </c>
      <c r="D57" s="17">
        <v>1988000000</v>
      </c>
      <c r="E57" s="17">
        <v>2082000000</v>
      </c>
      <c r="F57" s="17">
        <v>7084000000</v>
      </c>
      <c r="G57" s="17">
        <v>11687000000</v>
      </c>
    </row>
    <row r="58" spans="1:7" x14ac:dyDescent="0.2">
      <c r="A58" s="13"/>
      <c r="B58" s="14" t="s">
        <v>100</v>
      </c>
      <c r="C58" s="17">
        <v>-2002000000</v>
      </c>
      <c r="D58" s="17">
        <v>1206000000</v>
      </c>
      <c r="E58" s="17">
        <v>-8814000000</v>
      </c>
      <c r="F58" s="17">
        <v>6237000000</v>
      </c>
      <c r="G58" s="17">
        <v>9697000000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69F7-B0A5-FD4D-8651-ADCB74A91958}">
  <dimension ref="A1:I41"/>
  <sheetViews>
    <sheetView workbookViewId="0">
      <selection activeCell="C40" sqref="C40"/>
    </sheetView>
  </sheetViews>
  <sheetFormatPr baseColWidth="10" defaultRowHeight="16" x14ac:dyDescent="0.2"/>
  <cols>
    <col min="1" max="1" width="32.6640625" bestFit="1" customWidth="1"/>
    <col min="2" max="2" width="34" bestFit="1" customWidth="1"/>
    <col min="3" max="3" width="17.1640625" bestFit="1" customWidth="1"/>
    <col min="4" max="4" width="18.1640625" bestFit="1" customWidth="1"/>
    <col min="5" max="5" width="17.5" bestFit="1" customWidth="1"/>
    <col min="6" max="7" width="18.1640625" bestFit="1" customWidth="1"/>
  </cols>
  <sheetData>
    <row r="1" spans="1:9" x14ac:dyDescent="0.2">
      <c r="A1" s="12" t="s">
        <v>17</v>
      </c>
      <c r="B1" s="13"/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9" x14ac:dyDescent="0.2">
      <c r="A2" s="13"/>
      <c r="B2" s="13"/>
      <c r="C2" s="13"/>
      <c r="D2" s="13"/>
      <c r="E2" s="13"/>
      <c r="F2" s="13"/>
      <c r="G2" s="13"/>
    </row>
    <row r="3" spans="1:9" x14ac:dyDescent="0.2">
      <c r="A3" s="12" t="s">
        <v>101</v>
      </c>
      <c r="B3" s="13"/>
      <c r="C3" s="13"/>
      <c r="D3" s="13"/>
      <c r="E3" s="13"/>
      <c r="F3" s="13"/>
      <c r="G3" s="13"/>
    </row>
    <row r="4" spans="1:9" x14ac:dyDescent="0.2">
      <c r="A4" s="13"/>
      <c r="B4" s="14" t="s">
        <v>45</v>
      </c>
      <c r="C4" s="15">
        <v>3047000000</v>
      </c>
      <c r="D4" s="15">
        <v>4141000000</v>
      </c>
      <c r="E4" s="15">
        <v>2796000000</v>
      </c>
      <c r="F4" s="15">
        <v>4332000000</v>
      </c>
      <c r="G4" s="15">
        <v>9752000000</v>
      </c>
      <c r="I4" s="61">
        <f>C4/1000000</f>
        <v>3047</v>
      </c>
    </row>
    <row r="5" spans="1:9" x14ac:dyDescent="0.2">
      <c r="A5" s="13"/>
      <c r="B5" s="14" t="s">
        <v>36</v>
      </c>
      <c r="C5" s="15">
        <v>199000000</v>
      </c>
      <c r="D5" s="15">
        <v>262000000</v>
      </c>
      <c r="E5" s="15">
        <v>381000000</v>
      </c>
      <c r="F5" s="15">
        <v>1098000000</v>
      </c>
      <c r="G5" s="15">
        <v>1174000000</v>
      </c>
    </row>
    <row r="6" spans="1:9" x14ac:dyDescent="0.2">
      <c r="A6" s="13"/>
      <c r="B6" s="14" t="s">
        <v>102</v>
      </c>
      <c r="C6" s="15">
        <v>-359000000</v>
      </c>
      <c r="D6" s="15">
        <v>-315000000</v>
      </c>
      <c r="E6" s="15">
        <v>18000000</v>
      </c>
      <c r="F6" s="15">
        <v>-282000000</v>
      </c>
      <c r="G6" s="15">
        <v>-406000000</v>
      </c>
    </row>
    <row r="7" spans="1:9" x14ac:dyDescent="0.2">
      <c r="A7" s="13"/>
      <c r="B7" s="14" t="s">
        <v>103</v>
      </c>
      <c r="C7" s="15">
        <v>391000000</v>
      </c>
      <c r="D7" s="15">
        <v>557000000</v>
      </c>
      <c r="E7" s="15">
        <v>844000000</v>
      </c>
      <c r="F7" s="15">
        <v>1397000000</v>
      </c>
      <c r="G7" s="15">
        <v>2004000000</v>
      </c>
    </row>
    <row r="8" spans="1:9" x14ac:dyDescent="0.2">
      <c r="A8" s="13"/>
      <c r="B8" s="14" t="s">
        <v>104</v>
      </c>
      <c r="C8" s="15">
        <v>-185000000</v>
      </c>
      <c r="D8" s="15">
        <v>857000000</v>
      </c>
      <c r="E8" s="15">
        <v>-717000000</v>
      </c>
      <c r="F8" s="15">
        <v>703000000</v>
      </c>
      <c r="G8" s="15">
        <v>3363000000</v>
      </c>
    </row>
    <row r="9" spans="1:9" x14ac:dyDescent="0.2">
      <c r="A9" s="13"/>
      <c r="B9" s="14" t="s">
        <v>105</v>
      </c>
      <c r="C9" s="15">
        <v>-440000000</v>
      </c>
      <c r="D9" s="15">
        <v>-149000000</v>
      </c>
      <c r="E9" s="15">
        <v>-233000000</v>
      </c>
      <c r="F9" s="15">
        <v>-550000000</v>
      </c>
      <c r="G9" s="15">
        <v>-2215000000</v>
      </c>
    </row>
    <row r="10" spans="1:9" x14ac:dyDescent="0.2">
      <c r="A10" s="13"/>
      <c r="B10" s="14" t="s">
        <v>57</v>
      </c>
      <c r="C10" s="15">
        <v>0</v>
      </c>
      <c r="D10" s="15">
        <v>-776000000</v>
      </c>
      <c r="E10" s="15">
        <v>597000000</v>
      </c>
      <c r="F10" s="15">
        <v>-524000000</v>
      </c>
      <c r="G10" s="15">
        <v>-774000000</v>
      </c>
    </row>
    <row r="11" spans="1:9" x14ac:dyDescent="0.2">
      <c r="A11" s="13"/>
      <c r="B11" s="14" t="s">
        <v>106</v>
      </c>
      <c r="C11" s="15">
        <v>90000000</v>
      </c>
      <c r="D11" s="15">
        <v>-135000000</v>
      </c>
      <c r="E11" s="15">
        <v>194000000</v>
      </c>
      <c r="F11" s="15">
        <v>363000000</v>
      </c>
      <c r="G11" s="15">
        <v>568000000</v>
      </c>
    </row>
    <row r="12" spans="1:9" x14ac:dyDescent="0.2">
      <c r="A12" s="13"/>
      <c r="B12" s="14" t="s">
        <v>107</v>
      </c>
      <c r="C12" s="15">
        <v>481000000</v>
      </c>
      <c r="D12" s="15">
        <v>2000000</v>
      </c>
      <c r="E12" s="15">
        <v>28000000</v>
      </c>
      <c r="F12" s="15">
        <v>163000000</v>
      </c>
      <c r="G12" s="15">
        <v>0</v>
      </c>
    </row>
    <row r="13" spans="1:9" x14ac:dyDescent="0.2">
      <c r="A13" s="13"/>
      <c r="B13" s="14" t="s">
        <v>108</v>
      </c>
      <c r="C13" s="15">
        <v>39000000</v>
      </c>
      <c r="D13" s="15">
        <v>-45000000</v>
      </c>
      <c r="E13" s="15">
        <v>5000000</v>
      </c>
      <c r="F13" s="15">
        <v>-20000000</v>
      </c>
      <c r="G13" s="15">
        <v>-53000000</v>
      </c>
    </row>
    <row r="14" spans="1:9" x14ac:dyDescent="0.2">
      <c r="A14" s="13"/>
      <c r="B14" s="14" t="s">
        <v>109</v>
      </c>
      <c r="C14" s="15">
        <v>3502000000</v>
      </c>
      <c r="D14" s="15">
        <v>3743000000</v>
      </c>
      <c r="E14" s="15">
        <v>4761000000</v>
      </c>
      <c r="F14" s="15">
        <v>5822000000</v>
      </c>
      <c r="G14" s="15">
        <v>9108000000</v>
      </c>
    </row>
    <row r="15" spans="1:9" x14ac:dyDescent="0.2">
      <c r="A15" s="13"/>
      <c r="B15" s="13"/>
      <c r="C15" s="16"/>
      <c r="D15" s="16"/>
      <c r="E15" s="16"/>
      <c r="F15" s="16"/>
      <c r="G15" s="16"/>
    </row>
    <row r="16" spans="1:9" x14ac:dyDescent="0.2">
      <c r="A16" s="12" t="s">
        <v>110</v>
      </c>
      <c r="B16" s="13"/>
      <c r="C16" s="16"/>
      <c r="D16" s="16"/>
      <c r="E16" s="16"/>
      <c r="F16" s="16"/>
      <c r="G16" s="16"/>
    </row>
    <row r="17" spans="1:7" x14ac:dyDescent="0.2">
      <c r="A17" s="13"/>
      <c r="B17" s="14" t="s">
        <v>111</v>
      </c>
      <c r="C17" s="15">
        <v>-593000000</v>
      </c>
      <c r="D17" s="15">
        <v>-600000000</v>
      </c>
      <c r="E17" s="15">
        <v>-489000000</v>
      </c>
      <c r="F17" s="15">
        <v>-1128000000</v>
      </c>
      <c r="G17" s="15">
        <v>-976000000</v>
      </c>
    </row>
    <row r="18" spans="1:7" x14ac:dyDescent="0.2">
      <c r="A18" s="13"/>
      <c r="B18" s="14" t="s">
        <v>112</v>
      </c>
      <c r="C18" s="15">
        <v>0</v>
      </c>
      <c r="D18" s="15">
        <v>0</v>
      </c>
      <c r="E18" s="15">
        <v>0</v>
      </c>
      <c r="F18" s="15">
        <v>-8524000000</v>
      </c>
      <c r="G18" s="15">
        <v>-263000000</v>
      </c>
    </row>
    <row r="19" spans="1:7" x14ac:dyDescent="0.2">
      <c r="A19" s="13"/>
      <c r="B19" s="14" t="s">
        <v>113</v>
      </c>
      <c r="C19" s="15">
        <v>-72000000</v>
      </c>
      <c r="D19" s="15">
        <v>-11157000000</v>
      </c>
      <c r="E19" s="15">
        <v>-1475000000</v>
      </c>
      <c r="F19" s="15">
        <v>-19342000000</v>
      </c>
      <c r="G19" s="15">
        <v>-24811000000</v>
      </c>
    </row>
    <row r="20" spans="1:7" x14ac:dyDescent="0.2">
      <c r="A20" s="13"/>
      <c r="B20" s="14" t="s">
        <v>114</v>
      </c>
      <c r="C20" s="15">
        <v>1941000000</v>
      </c>
      <c r="D20" s="15">
        <v>7660000000</v>
      </c>
      <c r="E20" s="15">
        <v>8109000000</v>
      </c>
      <c r="F20" s="15">
        <v>9319000000</v>
      </c>
      <c r="G20" s="15">
        <v>16220000000</v>
      </c>
    </row>
    <row r="21" spans="1:7" x14ac:dyDescent="0.2">
      <c r="A21" s="13"/>
      <c r="B21" s="14" t="s">
        <v>115</v>
      </c>
      <c r="C21" s="15">
        <v>2000000</v>
      </c>
      <c r="D21" s="15">
        <v>0</v>
      </c>
      <c r="E21" s="15">
        <v>0</v>
      </c>
      <c r="F21" s="15">
        <v>0</v>
      </c>
      <c r="G21" s="15">
        <v>0</v>
      </c>
    </row>
    <row r="22" spans="1:7" x14ac:dyDescent="0.2">
      <c r="A22" s="13"/>
      <c r="B22" s="14" t="s">
        <v>116</v>
      </c>
      <c r="C22" s="15">
        <v>1278000000</v>
      </c>
      <c r="D22" s="15">
        <v>-4097000000</v>
      </c>
      <c r="E22" s="15">
        <v>6145000000</v>
      </c>
      <c r="F22" s="15">
        <v>-19675000000</v>
      </c>
      <c r="G22" s="15">
        <v>-9830000000</v>
      </c>
    </row>
    <row r="23" spans="1:7" x14ac:dyDescent="0.2">
      <c r="A23" s="13"/>
      <c r="B23" s="13"/>
      <c r="C23" s="16"/>
      <c r="D23" s="16"/>
      <c r="E23" s="16"/>
      <c r="F23" s="16"/>
      <c r="G23" s="16"/>
    </row>
    <row r="24" spans="1:7" x14ac:dyDescent="0.2">
      <c r="A24" s="12" t="s">
        <v>117</v>
      </c>
      <c r="B24" s="13"/>
      <c r="C24" s="16"/>
      <c r="D24" s="16"/>
      <c r="E24" s="16"/>
      <c r="F24" s="16"/>
      <c r="G24" s="16"/>
    </row>
    <row r="25" spans="1:7" x14ac:dyDescent="0.2">
      <c r="A25" s="13"/>
      <c r="B25" s="14" t="s">
        <v>118</v>
      </c>
      <c r="C25" s="15">
        <v>-812000000</v>
      </c>
      <c r="D25" s="15">
        <v>-16000000</v>
      </c>
      <c r="E25" s="15">
        <v>0</v>
      </c>
      <c r="F25" s="15">
        <v>0</v>
      </c>
      <c r="G25" s="15">
        <v>-1000000000</v>
      </c>
    </row>
    <row r="26" spans="1:7" x14ac:dyDescent="0.2">
      <c r="A26" s="13"/>
      <c r="B26" s="14" t="s">
        <v>119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</row>
    <row r="27" spans="1:7" x14ac:dyDescent="0.2">
      <c r="A27" s="13"/>
      <c r="B27" s="14" t="s">
        <v>120</v>
      </c>
      <c r="C27" s="15">
        <v>-909000000</v>
      </c>
      <c r="D27" s="15">
        <v>-1579000000</v>
      </c>
      <c r="E27" s="15">
        <v>0</v>
      </c>
      <c r="F27" s="15">
        <v>0</v>
      </c>
      <c r="G27" s="15">
        <v>0</v>
      </c>
    </row>
    <row r="28" spans="1:7" x14ac:dyDescent="0.2">
      <c r="A28" s="13"/>
      <c r="B28" s="14" t="s">
        <v>121</v>
      </c>
      <c r="C28" s="15">
        <v>-341000000</v>
      </c>
      <c r="D28" s="15">
        <v>-371000000</v>
      </c>
      <c r="E28" s="15">
        <v>-390000000</v>
      </c>
      <c r="F28" s="15">
        <v>-395000000</v>
      </c>
      <c r="G28" s="15">
        <v>-399000000</v>
      </c>
    </row>
    <row r="29" spans="1:7" x14ac:dyDescent="0.2">
      <c r="A29" s="13"/>
      <c r="B29" s="14" t="s">
        <v>122</v>
      </c>
      <c r="C29" s="15">
        <v>-482000000</v>
      </c>
      <c r="D29" s="15">
        <v>-900000000</v>
      </c>
      <c r="E29" s="15">
        <v>-402000000</v>
      </c>
      <c r="F29" s="15">
        <v>4199000000</v>
      </c>
      <c r="G29" s="15">
        <v>3264000000</v>
      </c>
    </row>
    <row r="30" spans="1:7" x14ac:dyDescent="0.2">
      <c r="A30" s="13"/>
      <c r="B30" s="14" t="s">
        <v>123</v>
      </c>
      <c r="C30" s="15">
        <v>-2544000000</v>
      </c>
      <c r="D30" s="15">
        <v>-2866000000</v>
      </c>
      <c r="E30" s="15">
        <v>-792000000</v>
      </c>
      <c r="F30" s="15">
        <v>3804000000</v>
      </c>
      <c r="G30" s="15">
        <v>1865000000</v>
      </c>
    </row>
    <row r="31" spans="1:7" x14ac:dyDescent="0.2">
      <c r="A31" s="13"/>
      <c r="B31" s="13"/>
      <c r="C31" s="16"/>
      <c r="D31" s="16"/>
      <c r="E31" s="16"/>
      <c r="F31" s="16"/>
      <c r="G31" s="16"/>
    </row>
    <row r="32" spans="1:7" x14ac:dyDescent="0.2">
      <c r="A32" s="12" t="s">
        <v>124</v>
      </c>
      <c r="B32" s="13"/>
      <c r="C32" s="16"/>
      <c r="D32" s="16"/>
      <c r="E32" s="16"/>
      <c r="F32" s="16"/>
      <c r="G32" s="16"/>
    </row>
    <row r="33" spans="1:7" x14ac:dyDescent="0.2">
      <c r="A33" s="13"/>
      <c r="B33" s="14" t="s">
        <v>125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</row>
    <row r="34" spans="1:7" x14ac:dyDescent="0.2">
      <c r="A34" s="13"/>
      <c r="B34" s="13"/>
      <c r="C34" s="16"/>
      <c r="D34" s="16"/>
      <c r="E34" s="16"/>
      <c r="F34" s="16"/>
      <c r="G34" s="16"/>
    </row>
    <row r="35" spans="1:7" x14ac:dyDescent="0.2">
      <c r="A35" s="12" t="s">
        <v>126</v>
      </c>
      <c r="B35" s="13"/>
      <c r="C35" s="16"/>
      <c r="D35" s="16"/>
      <c r="E35" s="16"/>
      <c r="F35" s="16"/>
      <c r="G35" s="16"/>
    </row>
    <row r="36" spans="1:7" x14ac:dyDescent="0.2">
      <c r="A36" s="13"/>
      <c r="B36" s="14" t="s">
        <v>127</v>
      </c>
      <c r="C36" s="15">
        <v>2236000000</v>
      </c>
      <c r="D36" s="15">
        <v>-3220000000</v>
      </c>
      <c r="E36" s="15">
        <v>10114000000</v>
      </c>
      <c r="F36" s="15">
        <v>-10049000000</v>
      </c>
      <c r="G36" s="15">
        <v>1143000000</v>
      </c>
    </row>
    <row r="37" spans="1:7" x14ac:dyDescent="0.2">
      <c r="A37" s="13"/>
      <c r="B37" s="14" t="s">
        <v>128</v>
      </c>
      <c r="C37" s="15">
        <v>4002000000</v>
      </c>
      <c r="D37" s="15">
        <v>782000000</v>
      </c>
      <c r="E37" s="15">
        <v>10896000000</v>
      </c>
      <c r="F37" s="15">
        <v>847000000</v>
      </c>
      <c r="G37" s="15">
        <v>1990000000</v>
      </c>
    </row>
    <row r="38" spans="1:7" x14ac:dyDescent="0.2">
      <c r="A38" s="13"/>
      <c r="B38" s="14" t="s">
        <v>129</v>
      </c>
      <c r="C38" s="15">
        <v>1766000000</v>
      </c>
      <c r="D38" s="15">
        <v>4002000000</v>
      </c>
      <c r="E38" s="15">
        <v>782000000</v>
      </c>
      <c r="F38" s="15">
        <v>10896000000</v>
      </c>
      <c r="G38" s="15">
        <v>847000000</v>
      </c>
    </row>
    <row r="39" spans="1:7" x14ac:dyDescent="0.2">
      <c r="A39" s="13"/>
      <c r="B39" s="14" t="s">
        <v>130</v>
      </c>
      <c r="C39" s="15">
        <v>3502000000</v>
      </c>
      <c r="D39" s="15">
        <v>3743000000</v>
      </c>
      <c r="E39" s="15">
        <v>4761000000</v>
      </c>
      <c r="F39" s="15">
        <v>5822000000</v>
      </c>
      <c r="G39" s="15">
        <v>9108000000</v>
      </c>
    </row>
    <row r="40" spans="1:7" x14ac:dyDescent="0.2">
      <c r="A40" s="13"/>
      <c r="B40" s="14" t="s">
        <v>131</v>
      </c>
      <c r="C40" s="15">
        <v>-593000000</v>
      </c>
      <c r="D40" s="15">
        <v>-600000000</v>
      </c>
      <c r="E40" s="15">
        <v>-489000000</v>
      </c>
      <c r="F40" s="15">
        <v>-1128000000</v>
      </c>
      <c r="G40" s="15">
        <v>-976000000</v>
      </c>
    </row>
    <row r="41" spans="1:7" x14ac:dyDescent="0.2">
      <c r="A41" s="13"/>
      <c r="B41" s="14" t="s">
        <v>132</v>
      </c>
      <c r="C41" s="15">
        <v>2909000000</v>
      </c>
      <c r="D41" s="15">
        <v>3143000000</v>
      </c>
      <c r="E41" s="15">
        <v>4272000000</v>
      </c>
      <c r="F41" s="15">
        <v>4694000000</v>
      </c>
      <c r="G41" s="15">
        <v>8132000000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6ED8-82C8-CE46-BF2F-F5478ECE02D8}">
  <dimension ref="A1:Q92"/>
  <sheetViews>
    <sheetView topLeftCell="A4" workbookViewId="0">
      <selection activeCell="F17" sqref="F17"/>
    </sheetView>
  </sheetViews>
  <sheetFormatPr baseColWidth="10" defaultRowHeight="16" x14ac:dyDescent="0.2"/>
  <cols>
    <col min="1" max="1" width="26.1640625" bestFit="1" customWidth="1"/>
  </cols>
  <sheetData>
    <row r="1" spans="1:17" ht="60" x14ac:dyDescent="0.2">
      <c r="A1" s="28" t="s">
        <v>133</v>
      </c>
      <c r="B1" s="152">
        <v>44747</v>
      </c>
      <c r="C1" s="152"/>
      <c r="D1" s="152"/>
      <c r="E1" s="152"/>
      <c r="F1" s="152"/>
      <c r="G1" s="152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30" x14ac:dyDescent="0.2">
      <c r="A2" s="28" t="s">
        <v>134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ht="30" x14ac:dyDescent="0.2">
      <c r="A3" s="28" t="s">
        <v>135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30" x14ac:dyDescent="0.2">
      <c r="A5" s="28" t="s">
        <v>136</v>
      </c>
      <c r="B5" s="153">
        <v>44789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</row>
    <row r="6" spans="1:17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</row>
    <row r="7" spans="1:17" ht="30" x14ac:dyDescent="0.2">
      <c r="A7" s="30"/>
      <c r="B7" s="31"/>
      <c r="C7" s="32"/>
      <c r="D7" s="33" t="s">
        <v>137</v>
      </c>
      <c r="E7" s="34"/>
      <c r="F7" s="154" t="s">
        <v>138</v>
      </c>
      <c r="G7" s="155"/>
      <c r="H7" s="156"/>
      <c r="I7" s="29"/>
      <c r="J7" s="29"/>
      <c r="K7" s="29"/>
      <c r="L7" s="29"/>
      <c r="M7" s="29"/>
      <c r="N7" s="29"/>
      <c r="O7" s="29"/>
      <c r="P7" s="29"/>
      <c r="Q7" s="29"/>
    </row>
    <row r="8" spans="1:17" x14ac:dyDescent="0.2">
      <c r="A8" s="35"/>
      <c r="B8" s="36" t="s">
        <v>139</v>
      </c>
      <c r="C8" s="37" t="s">
        <v>140</v>
      </c>
      <c r="D8" s="37" t="s">
        <v>141</v>
      </c>
      <c r="E8" s="38"/>
      <c r="F8" s="39" t="s">
        <v>142</v>
      </c>
      <c r="G8" s="40" t="s">
        <v>143</v>
      </c>
      <c r="H8" s="40" t="s">
        <v>144</v>
      </c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2">
      <c r="A9" s="41" t="s">
        <v>145</v>
      </c>
      <c r="B9" s="42">
        <v>1.448</v>
      </c>
      <c r="C9" s="42">
        <v>2.5</v>
      </c>
      <c r="D9" s="42">
        <v>4.4400000000000004</v>
      </c>
      <c r="E9" s="38"/>
      <c r="F9" s="43">
        <v>5.3959999999999999</v>
      </c>
      <c r="G9" s="42">
        <v>6.3460000000000001</v>
      </c>
      <c r="H9" s="42">
        <v>7.5229999999999997</v>
      </c>
      <c r="I9" s="29"/>
      <c r="J9" s="29"/>
      <c r="K9" s="29"/>
      <c r="L9" s="29"/>
      <c r="M9" s="29"/>
      <c r="N9" s="29"/>
      <c r="O9" s="29"/>
      <c r="P9" s="29"/>
      <c r="Q9" s="29"/>
    </row>
    <row r="10" spans="1:17" x14ac:dyDescent="0.2">
      <c r="A10" s="44" t="s">
        <v>146</v>
      </c>
      <c r="B10" s="45">
        <v>-0.12801000000000001</v>
      </c>
      <c r="C10" s="45">
        <v>0.72711999999999999</v>
      </c>
      <c r="D10" s="45">
        <v>0.77600000000000002</v>
      </c>
      <c r="E10" s="38"/>
      <c r="F10" s="46">
        <v>0.21536</v>
      </c>
      <c r="G10" s="45">
        <v>0.17610000000000001</v>
      </c>
      <c r="H10" s="45">
        <v>0.18536</v>
      </c>
      <c r="I10" s="29"/>
      <c r="J10" s="29"/>
      <c r="K10" s="29"/>
      <c r="L10" s="29"/>
      <c r="M10" s="29"/>
      <c r="N10" s="29"/>
      <c r="O10" s="29"/>
      <c r="P10" s="29"/>
      <c r="Q10" s="29"/>
    </row>
    <row r="11" spans="1:17" x14ac:dyDescent="0.2">
      <c r="A11" s="47" t="s">
        <v>147</v>
      </c>
      <c r="B11" s="48">
        <v>3.823E-2</v>
      </c>
      <c r="C11" s="48">
        <v>2.818E-2</v>
      </c>
      <c r="D11" s="48">
        <v>2.1839999999999998E-2</v>
      </c>
      <c r="E11" s="49"/>
      <c r="F11" s="46">
        <v>4.15E-3</v>
      </c>
      <c r="G11" s="45">
        <v>3.8800000000000002E-3</v>
      </c>
      <c r="H11" s="48">
        <v>1.617E-2</v>
      </c>
      <c r="I11" s="29"/>
      <c r="J11" s="29"/>
      <c r="K11" s="29"/>
      <c r="L11" s="29"/>
      <c r="M11" s="29"/>
      <c r="N11" s="29"/>
      <c r="O11" s="29"/>
      <c r="P11" s="29"/>
      <c r="Q11" s="29"/>
    </row>
    <row r="12" spans="1:17" x14ac:dyDescent="0.2">
      <c r="A12" s="44" t="s">
        <v>148</v>
      </c>
      <c r="B12" s="50">
        <v>1.3939999999999999</v>
      </c>
      <c r="C12" s="50">
        <v>2.431</v>
      </c>
      <c r="D12" s="50">
        <v>4.3449999999999998</v>
      </c>
      <c r="E12" s="38"/>
      <c r="F12" s="51">
        <v>5.3959999999999999</v>
      </c>
      <c r="G12" s="50">
        <v>6.3460000000000001</v>
      </c>
      <c r="H12" s="50">
        <v>7.5229999999999997</v>
      </c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2">
      <c r="A13" s="41" t="s">
        <v>149</v>
      </c>
      <c r="B13" s="42">
        <v>1.1299999999999999</v>
      </c>
      <c r="C13" s="42">
        <v>1.7250000000000001</v>
      </c>
      <c r="D13" s="42">
        <v>3.85</v>
      </c>
      <c r="E13" s="38"/>
      <c r="F13" s="43">
        <v>3.956</v>
      </c>
      <c r="G13" s="42">
        <v>5.3840000000000003</v>
      </c>
      <c r="H13" s="42">
        <v>6.33</v>
      </c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2">
      <c r="A14" s="44" t="s">
        <v>146</v>
      </c>
      <c r="B14" s="45">
        <v>-0.31824999999999998</v>
      </c>
      <c r="C14" s="45">
        <v>0.52654999999999996</v>
      </c>
      <c r="D14" s="45">
        <v>1.2318800000000001</v>
      </c>
      <c r="E14" s="38"/>
      <c r="F14" s="46">
        <v>2.7619999999999999E-2</v>
      </c>
      <c r="G14" s="45">
        <v>0.36085</v>
      </c>
      <c r="H14" s="45">
        <v>0.17571000000000001</v>
      </c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2">
      <c r="A15" s="47" t="s">
        <v>147</v>
      </c>
      <c r="B15" s="48">
        <v>5.1159999999999997E-2</v>
      </c>
      <c r="C15" s="48">
        <v>5.0459999999999998E-2</v>
      </c>
      <c r="D15" s="48">
        <v>4.53E-2</v>
      </c>
      <c r="E15" s="49"/>
      <c r="F15" s="46">
        <v>2.5999999999999998E-4</v>
      </c>
      <c r="G15" s="45">
        <v>-1.9499999999999999E-3</v>
      </c>
      <c r="H15" s="45">
        <v>-2.5600000000000002E-3</v>
      </c>
      <c r="I15" s="29"/>
      <c r="J15" s="29"/>
      <c r="K15" s="29"/>
      <c r="L15" s="29"/>
      <c r="M15" s="29"/>
      <c r="N15" s="29"/>
      <c r="O15" s="29"/>
      <c r="P15" s="29"/>
      <c r="Q15" s="29"/>
    </row>
    <row r="16" spans="1:17" x14ac:dyDescent="0.2">
      <c r="A16" s="44" t="s">
        <v>148</v>
      </c>
      <c r="B16" s="50">
        <v>1.075</v>
      </c>
      <c r="C16" s="50">
        <v>1.6419999999999999</v>
      </c>
      <c r="D16" s="50">
        <v>3.6829999999999998</v>
      </c>
      <c r="E16" s="38"/>
      <c r="F16" s="51">
        <v>3.956</v>
      </c>
      <c r="G16" s="50">
        <v>5.3840000000000003</v>
      </c>
      <c r="H16" s="50">
        <v>6.33</v>
      </c>
      <c r="I16" s="29"/>
      <c r="J16" s="29"/>
      <c r="K16" s="29"/>
      <c r="L16" s="29"/>
      <c r="M16" s="29"/>
      <c r="N16" s="29"/>
      <c r="O16" s="29"/>
      <c r="P16" s="29"/>
      <c r="Q16" s="29"/>
    </row>
    <row r="17" spans="1:17" x14ac:dyDescent="0.2">
      <c r="A17" s="41" t="s">
        <v>150</v>
      </c>
      <c r="B17" s="42">
        <v>10918</v>
      </c>
      <c r="C17" s="42">
        <v>16675</v>
      </c>
      <c r="D17" s="42">
        <v>26914</v>
      </c>
      <c r="E17" s="38"/>
      <c r="F17" s="43">
        <v>33600.728999999999</v>
      </c>
      <c r="G17" s="42">
        <v>38939.129999999997</v>
      </c>
      <c r="H17" s="42">
        <v>45376.514000000003</v>
      </c>
      <c r="I17" s="29"/>
      <c r="J17" s="29"/>
      <c r="K17" s="29"/>
      <c r="L17" s="29"/>
      <c r="M17" s="29"/>
      <c r="N17" s="29"/>
      <c r="O17" s="29"/>
      <c r="P17" s="29"/>
      <c r="Q17" s="29"/>
    </row>
    <row r="18" spans="1:17" x14ac:dyDescent="0.2">
      <c r="A18" s="44" t="s">
        <v>146</v>
      </c>
      <c r="B18" s="45">
        <v>-6.8110000000000004E-2</v>
      </c>
      <c r="C18" s="45">
        <v>0.52729000000000004</v>
      </c>
      <c r="D18" s="45">
        <v>0.61402999999999996</v>
      </c>
      <c r="E18" s="38"/>
      <c r="F18" s="46">
        <v>0.24845</v>
      </c>
      <c r="G18" s="45">
        <v>0.15887999999999999</v>
      </c>
      <c r="H18" s="45">
        <v>0.16531999999999999</v>
      </c>
      <c r="I18" s="29"/>
      <c r="J18" s="29"/>
      <c r="K18" s="29"/>
      <c r="L18" s="29"/>
      <c r="M18" s="29"/>
      <c r="N18" s="29"/>
      <c r="O18" s="29"/>
      <c r="P18" s="29"/>
      <c r="Q18" s="29"/>
    </row>
    <row r="19" spans="1:17" x14ac:dyDescent="0.2">
      <c r="A19" s="47" t="s">
        <v>147</v>
      </c>
      <c r="B19" s="45">
        <v>1.298E-2</v>
      </c>
      <c r="C19" s="45">
        <v>1.0919999999999999E-2</v>
      </c>
      <c r="D19" s="45">
        <v>8.5599999999999999E-3</v>
      </c>
      <c r="E19" s="49"/>
      <c r="F19" s="46">
        <v>2.8400000000000001E-3</v>
      </c>
      <c r="G19" s="45">
        <v>1E-3</v>
      </c>
      <c r="H19" s="45">
        <v>-5.0600000000000003E-3</v>
      </c>
      <c r="I19" s="29"/>
      <c r="J19" s="29"/>
      <c r="K19" s="29"/>
      <c r="L19" s="29"/>
      <c r="M19" s="29"/>
      <c r="N19" s="29"/>
      <c r="O19" s="29"/>
      <c r="P19" s="29"/>
      <c r="Q19" s="29"/>
    </row>
    <row r="20" spans="1:17" x14ac:dyDescent="0.2">
      <c r="A20" s="44" t="s">
        <v>148</v>
      </c>
      <c r="B20" s="50">
        <v>10778.132</v>
      </c>
      <c r="C20" s="50">
        <v>16494.828000000001</v>
      </c>
      <c r="D20" s="50">
        <v>26685.510999999999</v>
      </c>
      <c r="E20" s="38"/>
      <c r="F20" s="51">
        <v>33600.728999999999</v>
      </c>
      <c r="G20" s="50">
        <v>38939.129999999997</v>
      </c>
      <c r="H20" s="50">
        <v>45376.514000000003</v>
      </c>
      <c r="I20" s="29"/>
      <c r="J20" s="29"/>
      <c r="K20" s="29"/>
      <c r="L20" s="29"/>
      <c r="M20" s="29"/>
      <c r="N20" s="29"/>
      <c r="O20" s="29"/>
      <c r="P20" s="29"/>
      <c r="Q20" s="29"/>
    </row>
    <row r="21" spans="1:17" x14ac:dyDescent="0.2">
      <c r="A21" s="44" t="s">
        <v>151</v>
      </c>
      <c r="B21" s="50" t="s">
        <v>152</v>
      </c>
      <c r="C21" s="50" t="s">
        <v>152</v>
      </c>
      <c r="D21" s="50" t="s">
        <v>152</v>
      </c>
      <c r="E21" s="38"/>
      <c r="F21" s="51" t="s">
        <v>152</v>
      </c>
      <c r="G21" s="50" t="s">
        <v>153</v>
      </c>
      <c r="H21" s="50" t="s">
        <v>153</v>
      </c>
      <c r="I21" s="29"/>
      <c r="J21" s="29"/>
      <c r="K21" s="29"/>
      <c r="L21" s="29"/>
      <c r="M21" s="29"/>
      <c r="N21" s="29"/>
      <c r="O21" s="29"/>
      <c r="P21" s="29"/>
      <c r="Q21" s="29"/>
    </row>
    <row r="22" spans="1:17" x14ac:dyDescent="0.2">
      <c r="A22" s="52" t="s">
        <v>154</v>
      </c>
      <c r="B22" s="53">
        <v>700</v>
      </c>
      <c r="C22" s="53">
        <v>536</v>
      </c>
      <c r="D22" s="53">
        <v>566</v>
      </c>
      <c r="E22" s="38"/>
      <c r="F22" s="43">
        <v>703.68</v>
      </c>
      <c r="G22" s="53">
        <v>1035.99</v>
      </c>
      <c r="H22" s="53">
        <v>1163.45</v>
      </c>
      <c r="I22" s="29"/>
      <c r="J22" s="29"/>
      <c r="K22" s="29"/>
      <c r="L22" s="29"/>
      <c r="M22" s="29"/>
      <c r="N22" s="29"/>
      <c r="O22" s="29"/>
      <c r="P22" s="29"/>
      <c r="Q22" s="29"/>
    </row>
    <row r="23" spans="1:17" x14ac:dyDescent="0.2">
      <c r="A23" s="44" t="s">
        <v>155</v>
      </c>
      <c r="B23" s="45">
        <v>9.2039999999999997E-2</v>
      </c>
      <c r="C23" s="45">
        <v>-0.23429</v>
      </c>
      <c r="D23" s="45">
        <v>5.5969999999999999E-2</v>
      </c>
      <c r="E23" s="38"/>
      <c r="F23" s="46">
        <v>0.24324999999999999</v>
      </c>
      <c r="G23" s="45">
        <v>0.47225</v>
      </c>
      <c r="H23" s="45">
        <v>0.12303</v>
      </c>
      <c r="I23" s="29"/>
      <c r="J23" s="29"/>
      <c r="K23" s="29"/>
      <c r="L23" s="29"/>
      <c r="M23" s="29"/>
      <c r="N23" s="29"/>
      <c r="O23" s="29"/>
      <c r="P23" s="29"/>
      <c r="Q23" s="29"/>
    </row>
    <row r="24" spans="1:17" x14ac:dyDescent="0.2">
      <c r="A24" s="52" t="s">
        <v>156</v>
      </c>
      <c r="B24" s="53">
        <v>2983</v>
      </c>
      <c r="C24" s="53">
        <v>6696</v>
      </c>
      <c r="D24" s="53">
        <v>10613</v>
      </c>
      <c r="E24" s="38"/>
      <c r="F24" s="43">
        <v>16911.073</v>
      </c>
      <c r="G24" s="53">
        <v>21102.736000000001</v>
      </c>
      <c r="H24" s="53">
        <v>24567.599999999999</v>
      </c>
      <c r="I24" s="29"/>
      <c r="J24" s="29"/>
      <c r="K24" s="29"/>
      <c r="L24" s="29"/>
      <c r="M24" s="29"/>
      <c r="N24" s="29"/>
      <c r="O24" s="29"/>
      <c r="P24" s="29"/>
      <c r="Q24" s="29"/>
    </row>
    <row r="25" spans="1:17" x14ac:dyDescent="0.2">
      <c r="A25" s="44" t="s">
        <v>155</v>
      </c>
      <c r="B25" s="45">
        <v>1.7389999999999999E-2</v>
      </c>
      <c r="C25" s="45">
        <v>1.24472</v>
      </c>
      <c r="D25" s="45">
        <v>0.58498000000000006</v>
      </c>
      <c r="E25" s="38"/>
      <c r="F25" s="46">
        <v>0.59343000000000001</v>
      </c>
      <c r="G25" s="45">
        <v>0.24787000000000001</v>
      </c>
      <c r="H25" s="45">
        <v>0.16419</v>
      </c>
      <c r="I25" s="29"/>
      <c r="J25" s="29"/>
      <c r="K25" s="29"/>
      <c r="L25" s="29"/>
      <c r="M25" s="29"/>
      <c r="N25" s="29"/>
      <c r="O25" s="29"/>
      <c r="P25" s="29"/>
      <c r="Q25" s="29"/>
    </row>
    <row r="26" spans="1:17" x14ac:dyDescent="0.2">
      <c r="A26" s="52" t="s">
        <v>157</v>
      </c>
      <c r="B26" s="53">
        <v>5518</v>
      </c>
      <c r="C26" s="53">
        <v>7759</v>
      </c>
      <c r="D26" s="53">
        <v>12462</v>
      </c>
      <c r="E26" s="38"/>
      <c r="F26" s="43">
        <v>13119.536</v>
      </c>
      <c r="G26" s="53">
        <v>13670.964</v>
      </c>
      <c r="H26" s="53">
        <v>15089.7</v>
      </c>
      <c r="I26" s="29"/>
      <c r="J26" s="29"/>
      <c r="K26" s="29"/>
      <c r="L26" s="29"/>
      <c r="M26" s="29"/>
      <c r="N26" s="29"/>
      <c r="O26" s="29"/>
      <c r="P26" s="29"/>
      <c r="Q26" s="29"/>
    </row>
    <row r="27" spans="1:17" x14ac:dyDescent="0.2">
      <c r="A27" s="44" t="s">
        <v>155</v>
      </c>
      <c r="B27" s="45">
        <v>-0.11655</v>
      </c>
      <c r="C27" s="45">
        <v>0.40612999999999999</v>
      </c>
      <c r="D27" s="45">
        <v>0.60612999999999995</v>
      </c>
      <c r="E27" s="38"/>
      <c r="F27" s="46">
        <v>5.2760000000000001E-2</v>
      </c>
      <c r="G27" s="45">
        <v>4.2029999999999998E-2</v>
      </c>
      <c r="H27" s="45">
        <v>0.10378</v>
      </c>
      <c r="I27" s="29"/>
      <c r="J27" s="29"/>
      <c r="K27" s="29"/>
      <c r="L27" s="29"/>
      <c r="M27" s="29"/>
      <c r="N27" s="29"/>
      <c r="O27" s="29"/>
      <c r="P27" s="29"/>
      <c r="Q27" s="29"/>
    </row>
    <row r="28" spans="1:17" x14ac:dyDescent="0.2">
      <c r="A28" s="52" t="s">
        <v>158</v>
      </c>
      <c r="B28" s="53">
        <v>505</v>
      </c>
      <c r="C28" s="53">
        <v>631</v>
      </c>
      <c r="D28" s="53">
        <v>1162</v>
      </c>
      <c r="E28" s="38"/>
      <c r="F28" s="43">
        <v>676.92</v>
      </c>
      <c r="G28" s="53">
        <v>659.54</v>
      </c>
      <c r="H28" s="53">
        <v>726.7</v>
      </c>
      <c r="I28" s="29"/>
      <c r="J28" s="29"/>
      <c r="K28" s="29"/>
      <c r="L28" s="29"/>
      <c r="M28" s="29"/>
      <c r="N28" s="29"/>
      <c r="O28" s="29"/>
      <c r="P28" s="29"/>
      <c r="Q28" s="29"/>
    </row>
    <row r="29" spans="1:17" x14ac:dyDescent="0.2">
      <c r="A29" s="44" t="s">
        <v>155</v>
      </c>
      <c r="B29" s="45">
        <v>-0.34159</v>
      </c>
      <c r="C29" s="45">
        <v>0.2495</v>
      </c>
      <c r="D29" s="45">
        <v>0.84152000000000005</v>
      </c>
      <c r="E29" s="38"/>
      <c r="F29" s="46">
        <v>-0.41744999999999999</v>
      </c>
      <c r="G29" s="45">
        <v>-2.5680000000000001E-2</v>
      </c>
      <c r="H29" s="45">
        <v>0.10183</v>
      </c>
      <c r="I29" s="29"/>
      <c r="J29" s="29"/>
      <c r="K29" s="29"/>
      <c r="L29" s="29"/>
      <c r="M29" s="29"/>
      <c r="N29" s="29"/>
      <c r="O29" s="29"/>
      <c r="P29" s="29"/>
      <c r="Q29" s="29"/>
    </row>
    <row r="30" spans="1:17" x14ac:dyDescent="0.2">
      <c r="A30" s="52" t="s">
        <v>159</v>
      </c>
      <c r="B30" s="53">
        <v>1212</v>
      </c>
      <c r="C30" s="53">
        <v>1053</v>
      </c>
      <c r="D30" s="53">
        <v>2111</v>
      </c>
      <c r="E30" s="38"/>
      <c r="F30" s="43">
        <v>2619.88</v>
      </c>
      <c r="G30" s="53">
        <v>2930.92</v>
      </c>
      <c r="H30" s="53">
        <v>3314.2</v>
      </c>
      <c r="I30" s="29"/>
      <c r="J30" s="29"/>
      <c r="K30" s="29"/>
      <c r="L30" s="29"/>
      <c r="M30" s="29"/>
      <c r="N30" s="29"/>
      <c r="O30" s="29"/>
      <c r="P30" s="29"/>
      <c r="Q30" s="29"/>
    </row>
    <row r="31" spans="1:17" x14ac:dyDescent="0.2">
      <c r="A31" s="44" t="s">
        <v>155</v>
      </c>
      <c r="B31" s="45">
        <v>7.2569999999999996E-2</v>
      </c>
      <c r="C31" s="45">
        <v>-0.13119</v>
      </c>
      <c r="D31" s="45">
        <v>1.00475</v>
      </c>
      <c r="E31" s="38"/>
      <c r="F31" s="46">
        <v>0.24106</v>
      </c>
      <c r="G31" s="45">
        <v>0.11872000000000001</v>
      </c>
      <c r="H31" s="45">
        <v>0.13077</v>
      </c>
      <c r="I31" s="29"/>
      <c r="J31" s="29"/>
      <c r="K31" s="29"/>
      <c r="L31" s="29"/>
      <c r="M31" s="29"/>
      <c r="N31" s="29"/>
      <c r="O31" s="29"/>
      <c r="P31" s="29"/>
      <c r="Q31" s="29"/>
    </row>
    <row r="32" spans="1:17" x14ac:dyDescent="0.2">
      <c r="A32" s="157"/>
      <c r="B32" s="158"/>
      <c r="C32" s="158"/>
      <c r="D32" s="158"/>
      <c r="E32" s="158"/>
      <c r="F32" s="158"/>
      <c r="G32" s="158"/>
      <c r="H32" s="159"/>
      <c r="I32" s="29"/>
      <c r="J32" s="29"/>
      <c r="K32" s="29"/>
      <c r="L32" s="29"/>
      <c r="M32" s="29"/>
      <c r="N32" s="29"/>
      <c r="O32" s="29"/>
      <c r="P32" s="29"/>
      <c r="Q32" s="29"/>
    </row>
    <row r="33" spans="1:17" x14ac:dyDescent="0.2">
      <c r="A33" s="41" t="s">
        <v>160</v>
      </c>
      <c r="B33" s="42">
        <v>4097</v>
      </c>
      <c r="C33" s="42">
        <v>5728</v>
      </c>
      <c r="D33" s="42">
        <v>8945</v>
      </c>
      <c r="E33" s="38"/>
      <c r="F33" s="43">
        <v>11036.115</v>
      </c>
      <c r="G33" s="42">
        <v>12675.981</v>
      </c>
      <c r="H33" s="42">
        <v>15373.656999999999</v>
      </c>
      <c r="I33" s="29"/>
      <c r="J33" s="29"/>
      <c r="K33" s="29"/>
      <c r="L33" s="29"/>
      <c r="M33" s="29"/>
      <c r="N33" s="29"/>
      <c r="O33" s="29"/>
      <c r="P33" s="29"/>
      <c r="Q33" s="29"/>
    </row>
    <row r="34" spans="1:17" x14ac:dyDescent="0.2">
      <c r="A34" s="44" t="s">
        <v>146</v>
      </c>
      <c r="B34" s="45">
        <v>-8.6099999999999996E-2</v>
      </c>
      <c r="C34" s="45">
        <v>0.39810000000000001</v>
      </c>
      <c r="D34" s="45">
        <v>0.56162999999999996</v>
      </c>
      <c r="E34" s="38"/>
      <c r="F34" s="46">
        <v>0.23377000000000001</v>
      </c>
      <c r="G34" s="45">
        <v>0.14859</v>
      </c>
      <c r="H34" s="45">
        <v>0.21282000000000001</v>
      </c>
      <c r="I34" s="29"/>
      <c r="J34" s="29"/>
      <c r="K34" s="29"/>
      <c r="L34" s="29"/>
      <c r="M34" s="29"/>
      <c r="N34" s="29"/>
      <c r="O34" s="29"/>
      <c r="P34" s="29"/>
      <c r="Q34" s="29"/>
    </row>
    <row r="35" spans="1:17" x14ac:dyDescent="0.2">
      <c r="A35" s="47" t="s">
        <v>147</v>
      </c>
      <c r="B35" s="45">
        <v>7.5900000000000004E-3</v>
      </c>
      <c r="C35" s="48">
        <v>1.601E-2</v>
      </c>
      <c r="D35" s="45">
        <v>-5.8100000000000001E-3</v>
      </c>
      <c r="E35" s="49"/>
      <c r="F35" s="46">
        <v>-5.9899999999999997E-3</v>
      </c>
      <c r="G35" s="45">
        <v>-8.1399999999999997E-3</v>
      </c>
      <c r="H35" s="45">
        <v>-3.0100000000000001E-3</v>
      </c>
      <c r="I35" s="29"/>
      <c r="J35" s="29"/>
      <c r="K35" s="29"/>
      <c r="L35" s="29"/>
      <c r="M35" s="29"/>
      <c r="N35" s="29"/>
      <c r="O35" s="29"/>
      <c r="P35" s="29"/>
      <c r="Q35" s="29"/>
    </row>
    <row r="36" spans="1:17" x14ac:dyDescent="0.2">
      <c r="A36" s="44" t="s">
        <v>148</v>
      </c>
      <c r="B36" s="50">
        <v>4066.127</v>
      </c>
      <c r="C36" s="50">
        <v>5637.7430000000004</v>
      </c>
      <c r="D36" s="50">
        <v>8997.2780000000002</v>
      </c>
      <c r="E36" s="38"/>
      <c r="F36" s="51">
        <v>11036.115</v>
      </c>
      <c r="G36" s="50">
        <v>12675.981</v>
      </c>
      <c r="H36" s="50">
        <v>15373.656999999999</v>
      </c>
      <c r="I36" s="29"/>
      <c r="J36" s="29"/>
      <c r="K36" s="29"/>
      <c r="L36" s="29"/>
      <c r="M36" s="29"/>
      <c r="N36" s="29"/>
      <c r="O36" s="29"/>
      <c r="P36" s="29"/>
      <c r="Q36" s="29"/>
    </row>
    <row r="37" spans="1:17" x14ac:dyDescent="0.2">
      <c r="A37" s="41" t="s">
        <v>161</v>
      </c>
      <c r="B37" s="42">
        <v>6821</v>
      </c>
      <c r="C37" s="42">
        <v>10947</v>
      </c>
      <c r="D37" s="42">
        <v>17969</v>
      </c>
      <c r="E37" s="38"/>
      <c r="F37" s="43">
        <v>22745.322</v>
      </c>
      <c r="G37" s="42">
        <v>26720.73</v>
      </c>
      <c r="H37" s="42">
        <v>29761.757000000001</v>
      </c>
      <c r="I37" s="29"/>
      <c r="J37" s="29"/>
      <c r="K37" s="29"/>
      <c r="L37" s="29"/>
      <c r="M37" s="29"/>
      <c r="N37" s="29"/>
      <c r="O37" s="29"/>
      <c r="P37" s="29"/>
      <c r="Q37" s="29"/>
    </row>
    <row r="38" spans="1:17" x14ac:dyDescent="0.2">
      <c r="A38" s="44" t="s">
        <v>146</v>
      </c>
      <c r="B38" s="45">
        <v>-5.6959999999999997E-2</v>
      </c>
      <c r="C38" s="45">
        <v>0.60489999999999999</v>
      </c>
      <c r="D38" s="45">
        <v>0.64144999999999996</v>
      </c>
      <c r="E38" s="38"/>
      <c r="F38" s="46">
        <v>0.26580999999999999</v>
      </c>
      <c r="G38" s="45">
        <v>0.17477999999999999</v>
      </c>
      <c r="H38" s="45">
        <v>0.11380999999999999</v>
      </c>
      <c r="I38" s="29"/>
      <c r="J38" s="29"/>
      <c r="K38" s="29"/>
      <c r="L38" s="29"/>
      <c r="M38" s="29"/>
      <c r="N38" s="29"/>
      <c r="O38" s="29"/>
      <c r="P38" s="29"/>
      <c r="Q38" s="29"/>
    </row>
    <row r="39" spans="1:17" x14ac:dyDescent="0.2">
      <c r="A39" s="47" t="s">
        <v>147</v>
      </c>
      <c r="B39" s="48">
        <v>1.77E-2</v>
      </c>
      <c r="C39" s="45">
        <v>1.294E-2</v>
      </c>
      <c r="D39" s="45">
        <v>1.01E-3</v>
      </c>
      <c r="E39" s="49"/>
      <c r="F39" s="46">
        <v>-4.6999999999999999E-4</v>
      </c>
      <c r="G39" s="45">
        <v>-3.9399999999999999E-3</v>
      </c>
      <c r="H39" s="45">
        <v>6.3000000000000003E-4</v>
      </c>
      <c r="I39" s="29"/>
      <c r="J39" s="29"/>
      <c r="K39" s="29"/>
      <c r="L39" s="29"/>
      <c r="M39" s="29"/>
      <c r="N39" s="29"/>
      <c r="O39" s="29"/>
      <c r="P39" s="29"/>
      <c r="Q39" s="29"/>
    </row>
    <row r="40" spans="1:17" x14ac:dyDescent="0.2">
      <c r="A40" s="44" t="s">
        <v>148</v>
      </c>
      <c r="B40" s="50">
        <v>6702.3950000000004</v>
      </c>
      <c r="C40" s="50">
        <v>10807.154</v>
      </c>
      <c r="D40" s="50">
        <v>17950.892</v>
      </c>
      <c r="E40" s="38"/>
      <c r="F40" s="51">
        <v>22745.322</v>
      </c>
      <c r="G40" s="50">
        <v>26720.73</v>
      </c>
      <c r="H40" s="50">
        <v>29761.757000000001</v>
      </c>
      <c r="I40" s="29"/>
      <c r="J40" s="29"/>
      <c r="K40" s="29"/>
      <c r="L40" s="29"/>
      <c r="M40" s="29"/>
      <c r="N40" s="29"/>
      <c r="O40" s="29"/>
      <c r="P40" s="29"/>
      <c r="Q40" s="29"/>
    </row>
    <row r="41" spans="1:17" x14ac:dyDescent="0.2">
      <c r="A41" s="41" t="s">
        <v>162</v>
      </c>
      <c r="B41" s="54">
        <v>0.625</v>
      </c>
      <c r="C41" s="54">
        <v>0.65600000000000003</v>
      </c>
      <c r="D41" s="54">
        <v>0.66759999999999997</v>
      </c>
      <c r="E41" s="38"/>
      <c r="F41" s="55">
        <v>0.66998000000000002</v>
      </c>
      <c r="G41" s="54">
        <v>0.67652999999999996</v>
      </c>
      <c r="H41" s="54">
        <v>0.66503000000000001</v>
      </c>
      <c r="I41" s="29"/>
      <c r="J41" s="29"/>
      <c r="K41" s="29"/>
      <c r="L41" s="29"/>
      <c r="M41" s="29"/>
      <c r="N41" s="29"/>
      <c r="O41" s="29"/>
      <c r="P41" s="29"/>
      <c r="Q41" s="29"/>
    </row>
    <row r="42" spans="1:17" x14ac:dyDescent="0.2">
      <c r="A42" s="44" t="s">
        <v>163</v>
      </c>
      <c r="B42" s="45">
        <v>8.0000000000000002E-3</v>
      </c>
      <c r="C42" s="45">
        <v>3.1E-2</v>
      </c>
      <c r="D42" s="45">
        <v>1.1599999999999999E-2</v>
      </c>
      <c r="E42" s="38"/>
      <c r="F42" s="46">
        <v>2.3800000000000002E-3</v>
      </c>
      <c r="G42" s="45">
        <v>6.5399999999999998E-3</v>
      </c>
      <c r="H42" s="45">
        <v>-1.149E-2</v>
      </c>
      <c r="I42" s="29"/>
      <c r="J42" s="29"/>
      <c r="K42" s="29"/>
      <c r="L42" s="29"/>
      <c r="M42" s="29"/>
      <c r="N42" s="29"/>
      <c r="O42" s="29"/>
      <c r="P42" s="29"/>
      <c r="Q42" s="29"/>
    </row>
    <row r="43" spans="1:17" x14ac:dyDescent="0.2">
      <c r="A43" s="47" t="s">
        <v>147</v>
      </c>
      <c r="B43" s="45">
        <v>6.3E-3</v>
      </c>
      <c r="C43" s="45">
        <v>4.0000000000000003E-5</v>
      </c>
      <c r="D43" s="45">
        <v>-4.3400000000000001E-3</v>
      </c>
      <c r="E43" s="49"/>
      <c r="F43" s="46" t="s">
        <v>153</v>
      </c>
      <c r="G43" s="45" t="s">
        <v>153</v>
      </c>
      <c r="H43" s="45" t="s">
        <v>153</v>
      </c>
      <c r="I43" s="29"/>
      <c r="J43" s="29"/>
      <c r="K43" s="29"/>
      <c r="L43" s="29"/>
      <c r="M43" s="29"/>
      <c r="N43" s="29"/>
      <c r="O43" s="29"/>
      <c r="P43" s="29"/>
      <c r="Q43" s="29"/>
    </row>
    <row r="44" spans="1:17" x14ac:dyDescent="0.2">
      <c r="A44" s="44" t="s">
        <v>148</v>
      </c>
      <c r="B44" s="50">
        <v>62.109000000000002</v>
      </c>
      <c r="C44" s="50">
        <v>65.596999999999994</v>
      </c>
      <c r="D44" s="50">
        <v>67.051000000000002</v>
      </c>
      <c r="E44" s="38"/>
      <c r="F44" s="51">
        <v>66.998000000000005</v>
      </c>
      <c r="G44" s="50">
        <v>67.653000000000006</v>
      </c>
      <c r="H44" s="50">
        <v>66.503</v>
      </c>
      <c r="I44" s="29"/>
      <c r="J44" s="29"/>
      <c r="K44" s="29"/>
      <c r="L44" s="29"/>
      <c r="M44" s="29"/>
      <c r="N44" s="29"/>
      <c r="O44" s="29"/>
      <c r="P44" s="29"/>
      <c r="Q44" s="29"/>
    </row>
    <row r="45" spans="1:17" x14ac:dyDescent="0.2">
      <c r="A45" s="44" t="s">
        <v>151</v>
      </c>
      <c r="B45" s="50" t="s">
        <v>152</v>
      </c>
      <c r="C45" s="50" t="s">
        <v>152</v>
      </c>
      <c r="D45" s="50" t="s">
        <v>152</v>
      </c>
      <c r="E45" s="38"/>
      <c r="F45" s="51" t="s">
        <v>153</v>
      </c>
      <c r="G45" s="50" t="s">
        <v>153</v>
      </c>
      <c r="H45" s="50" t="s">
        <v>153</v>
      </c>
      <c r="I45" s="29"/>
      <c r="J45" s="29"/>
      <c r="K45" s="29"/>
      <c r="L45" s="29"/>
      <c r="M45" s="29"/>
      <c r="N45" s="29"/>
      <c r="O45" s="29"/>
      <c r="P45" s="29"/>
      <c r="Q45" s="29"/>
    </row>
    <row r="46" spans="1:17" x14ac:dyDescent="0.2">
      <c r="A46" s="41" t="s">
        <v>164</v>
      </c>
      <c r="B46" s="42">
        <v>2289</v>
      </c>
      <c r="C46" s="42">
        <v>3055</v>
      </c>
      <c r="D46" s="42">
        <v>5249</v>
      </c>
      <c r="E46" s="38"/>
      <c r="F46" s="43">
        <v>5501.1120000000001</v>
      </c>
      <c r="G46" s="42">
        <v>6339.7039999999997</v>
      </c>
      <c r="H46" s="42">
        <v>7842.3329999999996</v>
      </c>
      <c r="I46" s="29"/>
      <c r="J46" s="29"/>
      <c r="K46" s="29"/>
      <c r="L46" s="29"/>
      <c r="M46" s="29"/>
      <c r="N46" s="29"/>
      <c r="O46" s="29"/>
      <c r="P46" s="29"/>
      <c r="Q46" s="29"/>
    </row>
    <row r="47" spans="1:17" x14ac:dyDescent="0.2">
      <c r="A47" s="44" t="s">
        <v>146</v>
      </c>
      <c r="B47" s="45">
        <v>0.12206</v>
      </c>
      <c r="C47" s="45">
        <v>0.33463999999999999</v>
      </c>
      <c r="D47" s="45">
        <v>0.71816999999999998</v>
      </c>
      <c r="E47" s="38"/>
      <c r="F47" s="46">
        <v>4.8030000000000003E-2</v>
      </c>
      <c r="G47" s="45">
        <v>0.15243999999999999</v>
      </c>
      <c r="H47" s="45">
        <v>0.23702000000000001</v>
      </c>
      <c r="I47" s="29"/>
      <c r="J47" s="29"/>
      <c r="K47" s="29"/>
      <c r="L47" s="29"/>
      <c r="M47" s="29"/>
      <c r="N47" s="29"/>
      <c r="O47" s="29"/>
      <c r="P47" s="29"/>
      <c r="Q47" s="29"/>
    </row>
    <row r="48" spans="1:17" x14ac:dyDescent="0.2">
      <c r="A48" s="47" t="s">
        <v>147</v>
      </c>
      <c r="B48" s="56">
        <v>-7.9810000000000006E-2</v>
      </c>
      <c r="C48" s="56">
        <v>-1.771E-2</v>
      </c>
      <c r="D48" s="48">
        <v>0.24681</v>
      </c>
      <c r="E48" s="49"/>
      <c r="F48" s="46">
        <v>-9.7000000000000003E-3</v>
      </c>
      <c r="G48" s="56">
        <v>-2.7009999999999999E-2</v>
      </c>
      <c r="H48" s="45">
        <v>-1.311E-2</v>
      </c>
      <c r="I48" s="29"/>
      <c r="J48" s="29"/>
      <c r="K48" s="29"/>
      <c r="L48" s="29"/>
      <c r="M48" s="29"/>
      <c r="N48" s="29"/>
      <c r="O48" s="29"/>
      <c r="P48" s="29"/>
      <c r="Q48" s="29"/>
    </row>
    <row r="49" spans="1:17" x14ac:dyDescent="0.2">
      <c r="A49" s="44" t="s">
        <v>148</v>
      </c>
      <c r="B49" s="50">
        <v>2487.5149999999999</v>
      </c>
      <c r="C49" s="50">
        <v>3110.0859999999998</v>
      </c>
      <c r="D49" s="50">
        <v>4209.9430000000002</v>
      </c>
      <c r="E49" s="38"/>
      <c r="F49" s="51">
        <v>5501.1120000000001</v>
      </c>
      <c r="G49" s="50">
        <v>6339.7039999999997</v>
      </c>
      <c r="H49" s="50">
        <v>7842.3329999999996</v>
      </c>
      <c r="I49" s="29"/>
      <c r="J49" s="29"/>
      <c r="K49" s="29"/>
      <c r="L49" s="29"/>
      <c r="M49" s="29"/>
      <c r="N49" s="29"/>
      <c r="O49" s="29"/>
      <c r="P49" s="29"/>
      <c r="Q49" s="29"/>
    </row>
    <row r="50" spans="1:17" x14ac:dyDescent="0.2">
      <c r="A50" s="41" t="s">
        <v>35</v>
      </c>
      <c r="B50" s="42">
        <v>4116</v>
      </c>
      <c r="C50" s="42">
        <v>7901</v>
      </c>
      <c r="D50" s="42">
        <v>13864</v>
      </c>
      <c r="E50" s="38"/>
      <c r="F50" s="43">
        <v>17258.868999999999</v>
      </c>
      <c r="G50" s="42">
        <v>20234.400000000001</v>
      </c>
      <c r="H50" s="42">
        <v>23117.857</v>
      </c>
      <c r="I50" s="29"/>
      <c r="J50" s="29"/>
      <c r="K50" s="29"/>
      <c r="L50" s="29"/>
      <c r="M50" s="29"/>
      <c r="N50" s="29"/>
      <c r="O50" s="29"/>
      <c r="P50" s="29"/>
      <c r="Q50" s="29"/>
    </row>
    <row r="51" spans="1:17" x14ac:dyDescent="0.2">
      <c r="A51" s="44" t="s">
        <v>146</v>
      </c>
      <c r="B51" s="45">
        <v>-0.11844</v>
      </c>
      <c r="C51" s="45">
        <v>0.91957999999999995</v>
      </c>
      <c r="D51" s="45">
        <v>0.75470999999999999</v>
      </c>
      <c r="E51" s="38"/>
      <c r="F51" s="46">
        <v>0.24487</v>
      </c>
      <c r="G51" s="45">
        <v>0.17241000000000001</v>
      </c>
      <c r="H51" s="45">
        <v>0.14249999999999999</v>
      </c>
      <c r="I51" s="29"/>
      <c r="J51" s="29"/>
      <c r="K51" s="29"/>
      <c r="L51" s="29"/>
      <c r="M51" s="29"/>
      <c r="N51" s="29"/>
      <c r="O51" s="29"/>
      <c r="P51" s="29"/>
      <c r="Q51" s="29"/>
    </row>
    <row r="52" spans="1:17" x14ac:dyDescent="0.2">
      <c r="A52" s="47" t="s">
        <v>147</v>
      </c>
      <c r="B52" s="48">
        <v>3.1199999999999999E-2</v>
      </c>
      <c r="C52" s="48">
        <v>6.6239999999999993E-2</v>
      </c>
      <c r="D52" s="45">
        <v>1.3950000000000001E-2</v>
      </c>
      <c r="E52" s="49"/>
      <c r="F52" s="46">
        <v>-1.5200000000000001E-3</v>
      </c>
      <c r="G52" s="45">
        <v>1.23E-3</v>
      </c>
      <c r="H52" s="45">
        <v>2.1700000000000001E-3</v>
      </c>
      <c r="I52" s="29"/>
      <c r="J52" s="29"/>
      <c r="K52" s="29"/>
      <c r="L52" s="29"/>
      <c r="M52" s="29"/>
      <c r="N52" s="29"/>
      <c r="O52" s="29"/>
      <c r="P52" s="29"/>
      <c r="Q52" s="29"/>
    </row>
    <row r="53" spans="1:17" x14ac:dyDescent="0.2">
      <c r="A53" s="44" t="s">
        <v>148</v>
      </c>
      <c r="B53" s="50">
        <v>3991.4679999999998</v>
      </c>
      <c r="C53" s="50">
        <v>7410.1530000000002</v>
      </c>
      <c r="D53" s="50">
        <v>13673.259</v>
      </c>
      <c r="E53" s="38"/>
      <c r="F53" s="51">
        <v>17258.868999999999</v>
      </c>
      <c r="G53" s="50">
        <v>20234.400000000001</v>
      </c>
      <c r="H53" s="50">
        <v>23117.857</v>
      </c>
      <c r="I53" s="29"/>
      <c r="J53" s="29"/>
      <c r="K53" s="29"/>
      <c r="L53" s="29"/>
      <c r="M53" s="29"/>
      <c r="N53" s="29"/>
      <c r="O53" s="29"/>
      <c r="P53" s="29"/>
      <c r="Q53" s="29"/>
    </row>
    <row r="54" spans="1:17" x14ac:dyDescent="0.2">
      <c r="A54" s="41" t="s">
        <v>7</v>
      </c>
      <c r="B54" s="42">
        <v>3735</v>
      </c>
      <c r="C54" s="42">
        <v>6803</v>
      </c>
      <c r="D54" s="42">
        <v>12690</v>
      </c>
      <c r="E54" s="38"/>
      <c r="F54" s="43">
        <v>15974.887000000001</v>
      </c>
      <c r="G54" s="42">
        <v>18963.356</v>
      </c>
      <c r="H54" s="42">
        <v>21470.85</v>
      </c>
      <c r="I54" s="29"/>
      <c r="J54" s="29"/>
      <c r="K54" s="29"/>
      <c r="L54" s="29"/>
      <c r="M54" s="29"/>
      <c r="N54" s="29"/>
      <c r="O54" s="29"/>
      <c r="P54" s="29"/>
      <c r="Q54" s="29"/>
    </row>
    <row r="55" spans="1:17" x14ac:dyDescent="0.2">
      <c r="A55" s="44" t="s">
        <v>146</v>
      </c>
      <c r="B55" s="45">
        <v>-0.15248</v>
      </c>
      <c r="C55" s="45">
        <v>0.82142000000000004</v>
      </c>
      <c r="D55" s="45">
        <v>0.86534999999999995</v>
      </c>
      <c r="E55" s="38"/>
      <c r="F55" s="46">
        <v>0.25885999999999998</v>
      </c>
      <c r="G55" s="45">
        <v>0.18706999999999999</v>
      </c>
      <c r="H55" s="45">
        <v>0.13222999999999999</v>
      </c>
      <c r="I55" s="29"/>
      <c r="J55" s="29"/>
      <c r="K55" s="29"/>
      <c r="L55" s="29"/>
      <c r="M55" s="29"/>
      <c r="N55" s="29"/>
      <c r="O55" s="29"/>
      <c r="P55" s="29"/>
      <c r="Q55" s="29"/>
    </row>
    <row r="56" spans="1:17" x14ac:dyDescent="0.2">
      <c r="A56" s="47" t="s">
        <v>147</v>
      </c>
      <c r="B56" s="48">
        <v>3.09E-2</v>
      </c>
      <c r="C56" s="48">
        <v>1.6420000000000001E-2</v>
      </c>
      <c r="D56" s="45">
        <v>1.119E-2</v>
      </c>
      <c r="E56" s="49"/>
      <c r="F56" s="46">
        <v>8.4000000000000003E-4</v>
      </c>
      <c r="G56" s="45">
        <v>3.8000000000000002E-4</v>
      </c>
      <c r="H56" s="45">
        <v>1.018E-2</v>
      </c>
      <c r="I56" s="29"/>
      <c r="J56" s="29"/>
      <c r="K56" s="29"/>
      <c r="L56" s="29"/>
      <c r="M56" s="29"/>
      <c r="N56" s="29"/>
      <c r="O56" s="29"/>
      <c r="P56" s="29"/>
      <c r="Q56" s="29"/>
    </row>
    <row r="57" spans="1:17" x14ac:dyDescent="0.2">
      <c r="A57" s="47"/>
      <c r="B57" s="48"/>
      <c r="C57" s="48"/>
      <c r="D57" s="45"/>
      <c r="E57" s="49"/>
      <c r="F57" s="46"/>
      <c r="G57" s="45"/>
      <c r="H57" s="45"/>
      <c r="I57" s="29"/>
      <c r="J57" s="29"/>
      <c r="K57" s="29"/>
      <c r="L57" s="29"/>
      <c r="M57" s="29"/>
      <c r="N57" s="29"/>
      <c r="O57" s="29"/>
      <c r="P57" s="29"/>
      <c r="Q57" s="29"/>
    </row>
    <row r="58" spans="1:17" x14ac:dyDescent="0.2">
      <c r="A58" s="44" t="s">
        <v>148</v>
      </c>
      <c r="B58" s="50">
        <v>3623.0419999999999</v>
      </c>
      <c r="C58" s="50">
        <v>6693.1170000000002</v>
      </c>
      <c r="D58" s="50">
        <v>12549.575000000001</v>
      </c>
      <c r="E58" s="38"/>
      <c r="F58" s="51">
        <v>15974.887000000001</v>
      </c>
      <c r="G58" s="50">
        <v>18963.356</v>
      </c>
      <c r="H58" s="50">
        <v>21470.85</v>
      </c>
      <c r="I58" s="29"/>
      <c r="J58" s="29"/>
      <c r="K58" s="29"/>
      <c r="L58" s="29"/>
      <c r="M58" s="29"/>
      <c r="N58" s="29"/>
      <c r="O58" s="29"/>
      <c r="P58" s="29"/>
      <c r="Q58" s="29"/>
    </row>
    <row r="59" spans="1:17" x14ac:dyDescent="0.2">
      <c r="A59" s="41" t="s">
        <v>165</v>
      </c>
      <c r="B59" s="42">
        <v>52</v>
      </c>
      <c r="C59" s="42">
        <v>184</v>
      </c>
      <c r="D59" s="42">
        <v>236</v>
      </c>
      <c r="E59" s="38"/>
      <c r="F59" s="43">
        <v>229.76499999999999</v>
      </c>
      <c r="G59" s="42">
        <v>223.68799999999999</v>
      </c>
      <c r="H59" s="42">
        <v>246.333</v>
      </c>
      <c r="I59" s="29"/>
      <c r="J59" s="29"/>
      <c r="K59" s="29"/>
      <c r="L59" s="29"/>
      <c r="M59" s="29"/>
      <c r="N59" s="29"/>
      <c r="O59" s="29"/>
      <c r="P59" s="29"/>
      <c r="Q59" s="29"/>
    </row>
    <row r="60" spans="1:17" x14ac:dyDescent="0.2">
      <c r="A60" s="44" t="s">
        <v>146</v>
      </c>
      <c r="B60" s="45">
        <v>-0.10345</v>
      </c>
      <c r="C60" s="45">
        <v>2.5384600000000002</v>
      </c>
      <c r="D60" s="45">
        <v>0.28260999999999997</v>
      </c>
      <c r="E60" s="38"/>
      <c r="F60" s="46">
        <v>-2.6419999999999999E-2</v>
      </c>
      <c r="G60" s="45">
        <v>-2.6450000000000001E-2</v>
      </c>
      <c r="H60" s="45">
        <v>0.10124</v>
      </c>
      <c r="I60" s="29"/>
      <c r="J60" s="29"/>
      <c r="K60" s="29"/>
      <c r="L60" s="29"/>
      <c r="M60" s="29"/>
      <c r="N60" s="29"/>
      <c r="O60" s="29"/>
      <c r="P60" s="29"/>
      <c r="Q60" s="29"/>
    </row>
    <row r="61" spans="1:17" x14ac:dyDescent="0.2">
      <c r="A61" s="47" t="s">
        <v>147</v>
      </c>
      <c r="B61" s="48">
        <v>4.3280000000000003</v>
      </c>
      <c r="C61" s="48">
        <v>0.20477999999999999</v>
      </c>
      <c r="D61" s="48">
        <v>7.1679999999999994E-2</v>
      </c>
      <c r="E61" s="49"/>
      <c r="F61" s="57">
        <v>6.1519999999999998E-2</v>
      </c>
      <c r="G61" s="48">
        <v>6.1260000000000002E-2</v>
      </c>
      <c r="H61" s="48">
        <v>0.12411</v>
      </c>
      <c r="I61" s="29"/>
      <c r="J61" s="29"/>
      <c r="K61" s="29"/>
      <c r="L61" s="29"/>
      <c r="M61" s="29"/>
      <c r="N61" s="29"/>
      <c r="O61" s="29"/>
      <c r="P61" s="29"/>
      <c r="Q61" s="29"/>
    </row>
    <row r="62" spans="1:17" x14ac:dyDescent="0.2">
      <c r="A62" s="44" t="s">
        <v>148</v>
      </c>
      <c r="B62" s="50">
        <v>-15.625</v>
      </c>
      <c r="C62" s="50">
        <v>152.72499999999999</v>
      </c>
      <c r="D62" s="50">
        <v>220.214</v>
      </c>
      <c r="E62" s="38"/>
      <c r="F62" s="51">
        <v>229.76499999999999</v>
      </c>
      <c r="G62" s="50">
        <v>223.68799999999999</v>
      </c>
      <c r="H62" s="50">
        <v>246.333</v>
      </c>
      <c r="I62" s="29"/>
      <c r="J62" s="29"/>
      <c r="K62" s="29"/>
      <c r="L62" s="29"/>
      <c r="M62" s="29"/>
      <c r="N62" s="29"/>
      <c r="O62" s="29"/>
      <c r="P62" s="29"/>
      <c r="Q62" s="29"/>
    </row>
    <row r="63" spans="1:17" x14ac:dyDescent="0.2">
      <c r="A63" s="41" t="s">
        <v>166</v>
      </c>
      <c r="B63" s="42">
        <v>3860</v>
      </c>
      <c r="C63" s="42">
        <v>6683</v>
      </c>
      <c r="D63" s="42">
        <v>12494</v>
      </c>
      <c r="E63" s="38"/>
      <c r="F63" s="43">
        <v>14914.069</v>
      </c>
      <c r="G63" s="42">
        <v>18071.738000000001</v>
      </c>
      <c r="H63" s="42">
        <v>20353.648000000001</v>
      </c>
      <c r="I63" s="29"/>
      <c r="J63" s="29"/>
      <c r="K63" s="29"/>
      <c r="L63" s="29"/>
      <c r="M63" s="29"/>
      <c r="N63" s="29"/>
      <c r="O63" s="29"/>
      <c r="P63" s="29"/>
      <c r="Q63" s="29"/>
    </row>
    <row r="64" spans="1:17" x14ac:dyDescent="0.2">
      <c r="A64" s="44" t="s">
        <v>146</v>
      </c>
      <c r="B64" s="45">
        <v>-0.14011999999999999</v>
      </c>
      <c r="C64" s="45">
        <v>0.73134999999999994</v>
      </c>
      <c r="D64" s="45">
        <v>0.86951999999999996</v>
      </c>
      <c r="E64" s="38"/>
      <c r="F64" s="46">
        <v>0.19370000000000001</v>
      </c>
      <c r="G64" s="45">
        <v>0.21171999999999999</v>
      </c>
      <c r="H64" s="45">
        <v>0.12626999999999999</v>
      </c>
      <c r="I64" s="29"/>
      <c r="J64" s="29"/>
      <c r="K64" s="29"/>
      <c r="L64" s="29"/>
      <c r="M64" s="29"/>
      <c r="N64" s="29"/>
      <c r="O64" s="29"/>
      <c r="P64" s="29"/>
      <c r="Q64" s="29"/>
    </row>
    <row r="65" spans="1:17" x14ac:dyDescent="0.2">
      <c r="A65" s="47" t="s">
        <v>147</v>
      </c>
      <c r="B65" s="48">
        <v>7.3779999999999998E-2</v>
      </c>
      <c r="C65" s="48">
        <v>2.828E-2</v>
      </c>
      <c r="D65" s="45">
        <v>8.0700000000000008E-3</v>
      </c>
      <c r="E65" s="49"/>
      <c r="F65" s="57">
        <v>1.883E-2</v>
      </c>
      <c r="G65" s="45">
        <v>7.8100000000000001E-3</v>
      </c>
      <c r="H65" s="45">
        <v>2.8500000000000001E-3</v>
      </c>
      <c r="I65" s="29"/>
      <c r="J65" s="29"/>
      <c r="K65" s="29"/>
      <c r="L65" s="29"/>
      <c r="M65" s="29"/>
      <c r="N65" s="29"/>
      <c r="O65" s="29"/>
      <c r="P65" s="29"/>
      <c r="Q65" s="29"/>
    </row>
    <row r="66" spans="1:17" x14ac:dyDescent="0.2">
      <c r="A66" s="44" t="s">
        <v>148</v>
      </c>
      <c r="B66" s="50">
        <v>3594.7939999999999</v>
      </c>
      <c r="C66" s="50">
        <v>6499.1809999999996</v>
      </c>
      <c r="D66" s="50">
        <v>12393.986999999999</v>
      </c>
      <c r="E66" s="38"/>
      <c r="F66" s="51">
        <v>14914.069</v>
      </c>
      <c r="G66" s="50">
        <v>18071.738000000001</v>
      </c>
      <c r="H66" s="50">
        <v>20353.648000000001</v>
      </c>
      <c r="I66" s="29"/>
      <c r="J66" s="29"/>
      <c r="K66" s="29"/>
      <c r="L66" s="29"/>
      <c r="M66" s="29"/>
      <c r="N66" s="29"/>
      <c r="O66" s="29"/>
      <c r="P66" s="29"/>
      <c r="Q66" s="29"/>
    </row>
    <row r="67" spans="1:17" x14ac:dyDescent="0.2">
      <c r="A67" s="41" t="s">
        <v>167</v>
      </c>
      <c r="B67" s="54">
        <v>7.2499999999999995E-2</v>
      </c>
      <c r="C67" s="54">
        <v>6.08E-2</v>
      </c>
      <c r="D67" s="54">
        <v>1.9009999999999999E-2</v>
      </c>
      <c r="E67" s="38"/>
      <c r="F67" s="55">
        <v>0.12256</v>
      </c>
      <c r="G67" s="54">
        <v>0.126</v>
      </c>
      <c r="H67" s="54">
        <v>0.12867000000000001</v>
      </c>
      <c r="I67" s="29"/>
      <c r="J67" s="29"/>
      <c r="K67" s="29"/>
      <c r="L67" s="29"/>
      <c r="M67" s="29"/>
      <c r="N67" s="29"/>
      <c r="O67" s="29"/>
      <c r="P67" s="29"/>
      <c r="Q67" s="29"/>
    </row>
    <row r="68" spans="1:17" x14ac:dyDescent="0.2">
      <c r="A68" s="44" t="s">
        <v>163</v>
      </c>
      <c r="B68" s="45">
        <v>-4.5999999999999999E-3</v>
      </c>
      <c r="C68" s="45">
        <v>-1.17E-2</v>
      </c>
      <c r="D68" s="45">
        <v>-4.1790000000000001E-2</v>
      </c>
      <c r="E68" s="38"/>
      <c r="F68" s="46">
        <v>0.10355</v>
      </c>
      <c r="G68" s="45">
        <v>3.4399999999999999E-3</v>
      </c>
      <c r="H68" s="45">
        <v>2.6700000000000001E-3</v>
      </c>
      <c r="I68" s="29"/>
      <c r="J68" s="29"/>
      <c r="K68" s="29"/>
      <c r="L68" s="29"/>
      <c r="M68" s="29"/>
      <c r="N68" s="29"/>
      <c r="O68" s="29"/>
      <c r="P68" s="29"/>
      <c r="Q68" s="29"/>
    </row>
    <row r="69" spans="1:17" x14ac:dyDescent="0.2">
      <c r="A69" s="47" t="s">
        <v>147</v>
      </c>
      <c r="B69" s="56">
        <v>-9.1759999999999994E-2</v>
      </c>
      <c r="C69" s="56">
        <v>-0.15809000000000001</v>
      </c>
      <c r="D69" s="56">
        <v>-0.80835000000000001</v>
      </c>
      <c r="E69" s="49"/>
      <c r="F69" s="46" t="s">
        <v>153</v>
      </c>
      <c r="G69" s="45" t="s">
        <v>153</v>
      </c>
      <c r="H69" s="45" t="s">
        <v>153</v>
      </c>
      <c r="I69" s="29"/>
      <c r="J69" s="29"/>
      <c r="K69" s="29"/>
      <c r="L69" s="29"/>
      <c r="M69" s="29"/>
      <c r="N69" s="29"/>
      <c r="O69" s="29"/>
      <c r="P69" s="29"/>
      <c r="Q69" s="29"/>
    </row>
    <row r="70" spans="1:17" x14ac:dyDescent="0.2">
      <c r="A70" s="44" t="s">
        <v>148</v>
      </c>
      <c r="B70" s="50">
        <v>7.9829999999999997</v>
      </c>
      <c r="C70" s="50">
        <v>7.2220000000000004</v>
      </c>
      <c r="D70" s="50">
        <v>9.92</v>
      </c>
      <c r="E70" s="38"/>
      <c r="F70" s="51">
        <v>12.256</v>
      </c>
      <c r="G70" s="50">
        <v>12.6</v>
      </c>
      <c r="H70" s="50">
        <v>12.867000000000001</v>
      </c>
      <c r="I70" s="29"/>
      <c r="J70" s="29"/>
      <c r="K70" s="29"/>
      <c r="L70" s="29"/>
      <c r="M70" s="29"/>
      <c r="N70" s="29"/>
      <c r="O70" s="29"/>
      <c r="P70" s="29"/>
      <c r="Q70" s="29"/>
    </row>
    <row r="71" spans="1:17" x14ac:dyDescent="0.2">
      <c r="A71" s="41" t="s">
        <v>168</v>
      </c>
      <c r="B71" s="42">
        <v>280</v>
      </c>
      <c r="C71" s="42">
        <v>406</v>
      </c>
      <c r="D71" s="42">
        <v>189</v>
      </c>
      <c r="E71" s="38"/>
      <c r="F71" s="43">
        <v>1876.34</v>
      </c>
      <c r="G71" s="42">
        <v>2280.48</v>
      </c>
      <c r="H71" s="42">
        <v>2634.7829999999999</v>
      </c>
      <c r="I71" s="29"/>
      <c r="J71" s="29"/>
      <c r="K71" s="29"/>
      <c r="L71" s="29"/>
      <c r="M71" s="29"/>
      <c r="N71" s="29"/>
      <c r="O71" s="29"/>
      <c r="P71" s="29"/>
      <c r="Q71" s="29"/>
    </row>
    <row r="72" spans="1:17" x14ac:dyDescent="0.2">
      <c r="A72" s="44" t="s">
        <v>146</v>
      </c>
      <c r="B72" s="45">
        <v>-0.19075</v>
      </c>
      <c r="C72" s="45">
        <v>0.45</v>
      </c>
      <c r="D72" s="45">
        <v>-0.53447999999999996</v>
      </c>
      <c r="E72" s="38"/>
      <c r="F72" s="46">
        <v>8.9277200000000008</v>
      </c>
      <c r="G72" s="45">
        <v>0.21539</v>
      </c>
      <c r="H72" s="45">
        <v>0.15536</v>
      </c>
      <c r="I72" s="29"/>
      <c r="J72" s="29"/>
      <c r="K72" s="29"/>
      <c r="L72" s="29"/>
      <c r="M72" s="29"/>
      <c r="N72" s="29"/>
      <c r="O72" s="29"/>
      <c r="P72" s="29"/>
      <c r="Q72" s="29"/>
    </row>
    <row r="73" spans="1:17" x14ac:dyDescent="0.2">
      <c r="A73" s="47" t="s">
        <v>147</v>
      </c>
      <c r="B73" s="56">
        <v>-5.7119999999999997E-2</v>
      </c>
      <c r="C73" s="56">
        <v>-0.11624</v>
      </c>
      <c r="D73" s="56">
        <v>-0.84323000000000004</v>
      </c>
      <c r="E73" s="49"/>
      <c r="F73" s="46">
        <v>-2.8700000000000002E-3</v>
      </c>
      <c r="G73" s="45">
        <v>-4.2100000000000002E-3</v>
      </c>
      <c r="H73" s="45">
        <v>7.26E-3</v>
      </c>
      <c r="I73" s="29"/>
      <c r="J73" s="29"/>
      <c r="K73" s="29"/>
      <c r="L73" s="29"/>
      <c r="M73" s="29"/>
      <c r="N73" s="29"/>
      <c r="O73" s="29"/>
      <c r="P73" s="29"/>
      <c r="Q73" s="29"/>
    </row>
    <row r="74" spans="1:17" x14ac:dyDescent="0.2">
      <c r="A74" s="44" t="s">
        <v>148</v>
      </c>
      <c r="B74" s="50">
        <v>296.96100000000001</v>
      </c>
      <c r="C74" s="50">
        <v>459.4</v>
      </c>
      <c r="D74" s="50">
        <v>1205.595</v>
      </c>
      <c r="E74" s="38"/>
      <c r="F74" s="51">
        <v>1876.34</v>
      </c>
      <c r="G74" s="50">
        <v>2280.48</v>
      </c>
      <c r="H74" s="50">
        <v>2634.7829999999999</v>
      </c>
      <c r="I74" s="29"/>
      <c r="J74" s="29"/>
      <c r="K74" s="29"/>
      <c r="L74" s="29"/>
      <c r="M74" s="29"/>
      <c r="N74" s="29"/>
      <c r="O74" s="29"/>
      <c r="P74" s="29"/>
      <c r="Q74" s="29"/>
    </row>
    <row r="75" spans="1:17" x14ac:dyDescent="0.2">
      <c r="A75" s="41" t="s">
        <v>169</v>
      </c>
      <c r="B75" s="42">
        <v>3580</v>
      </c>
      <c r="C75" s="42">
        <v>6277</v>
      </c>
      <c r="D75" s="42">
        <v>11259</v>
      </c>
      <c r="E75" s="38"/>
      <c r="F75" s="43">
        <v>13727.562</v>
      </c>
      <c r="G75" s="42">
        <v>16276.771000000001</v>
      </c>
      <c r="H75" s="42">
        <v>18900.531999999999</v>
      </c>
      <c r="I75" s="29"/>
      <c r="J75" s="29"/>
      <c r="K75" s="29"/>
      <c r="L75" s="29"/>
      <c r="M75" s="29"/>
      <c r="N75" s="29"/>
      <c r="O75" s="29"/>
      <c r="P75" s="29"/>
      <c r="Q75" s="29"/>
    </row>
    <row r="76" spans="1:17" x14ac:dyDescent="0.2">
      <c r="A76" s="44" t="s">
        <v>146</v>
      </c>
      <c r="B76" s="45">
        <v>-0.13589000000000001</v>
      </c>
      <c r="C76" s="45">
        <v>0.75334999999999996</v>
      </c>
      <c r="D76" s="45">
        <v>0.79369000000000001</v>
      </c>
      <c r="E76" s="38"/>
      <c r="F76" s="46">
        <v>0.21925</v>
      </c>
      <c r="G76" s="45">
        <v>0.1857</v>
      </c>
      <c r="H76" s="45">
        <v>0.16120000000000001</v>
      </c>
      <c r="I76" s="29"/>
      <c r="J76" s="29"/>
      <c r="K76" s="29"/>
      <c r="L76" s="29"/>
      <c r="M76" s="29"/>
      <c r="N76" s="29"/>
      <c r="O76" s="29"/>
      <c r="P76" s="29"/>
      <c r="Q76" s="29"/>
    </row>
    <row r="77" spans="1:17" x14ac:dyDescent="0.2">
      <c r="A77" s="47" t="s">
        <v>147</v>
      </c>
      <c r="B77" s="48">
        <v>4.07E-2</v>
      </c>
      <c r="C77" s="48">
        <v>2.8889999999999999E-2</v>
      </c>
      <c r="D77" s="48">
        <v>2.2849999999999999E-2</v>
      </c>
      <c r="E77" s="49"/>
      <c r="F77" s="46">
        <v>1.4E-3</v>
      </c>
      <c r="G77" s="45">
        <v>-3.1E-4</v>
      </c>
      <c r="H77" s="45">
        <v>5.8399999999999997E-3</v>
      </c>
      <c r="I77" s="29"/>
      <c r="J77" s="29"/>
      <c r="K77" s="29"/>
      <c r="L77" s="29"/>
      <c r="M77" s="29"/>
      <c r="N77" s="29"/>
      <c r="O77" s="29"/>
      <c r="P77" s="29"/>
      <c r="Q77" s="29"/>
    </row>
    <row r="78" spans="1:17" x14ac:dyDescent="0.2">
      <c r="A78" s="44" t="s">
        <v>148</v>
      </c>
      <c r="B78" s="50">
        <v>3439.9969999999998</v>
      </c>
      <c r="C78" s="50">
        <v>6100.7749999999996</v>
      </c>
      <c r="D78" s="50">
        <v>11007.434999999999</v>
      </c>
      <c r="E78" s="38"/>
      <c r="F78" s="51">
        <v>13727.562</v>
      </c>
      <c r="G78" s="50">
        <v>16276.771000000001</v>
      </c>
      <c r="H78" s="50">
        <v>18900.531999999999</v>
      </c>
      <c r="I78" s="29"/>
      <c r="J78" s="29"/>
      <c r="K78" s="29"/>
      <c r="L78" s="29"/>
      <c r="M78" s="29"/>
      <c r="N78" s="29"/>
      <c r="O78" s="29"/>
      <c r="P78" s="29"/>
      <c r="Q78" s="29"/>
    </row>
    <row r="79" spans="1:17" x14ac:dyDescent="0.2">
      <c r="A79" s="41" t="s">
        <v>170</v>
      </c>
      <c r="B79" s="42">
        <v>2970</v>
      </c>
      <c r="C79" s="42">
        <v>4409</v>
      </c>
      <c r="D79" s="42">
        <v>9941</v>
      </c>
      <c r="E79" s="38"/>
      <c r="F79" s="43">
        <v>10589.085999999999</v>
      </c>
      <c r="G79" s="42">
        <v>14504.35</v>
      </c>
      <c r="H79" s="42">
        <v>18387.055</v>
      </c>
      <c r="I79" s="29"/>
      <c r="J79" s="29"/>
      <c r="K79" s="29"/>
      <c r="L79" s="29"/>
      <c r="M79" s="29"/>
      <c r="N79" s="29"/>
      <c r="O79" s="29"/>
      <c r="P79" s="29"/>
      <c r="Q79" s="29"/>
    </row>
    <row r="80" spans="1:17" x14ac:dyDescent="0.2">
      <c r="A80" s="44" t="s">
        <v>146</v>
      </c>
      <c r="B80" s="45">
        <v>-0.23768</v>
      </c>
      <c r="C80" s="45">
        <v>0.48451</v>
      </c>
      <c r="D80" s="45">
        <v>1.25471</v>
      </c>
      <c r="E80" s="38"/>
      <c r="F80" s="46">
        <v>6.5189999999999998E-2</v>
      </c>
      <c r="G80" s="45">
        <v>0.36975000000000002</v>
      </c>
      <c r="H80" s="45">
        <v>0.26768999999999998</v>
      </c>
      <c r="I80" s="29"/>
      <c r="J80" s="29"/>
      <c r="K80" s="29"/>
      <c r="L80" s="29"/>
      <c r="M80" s="29"/>
      <c r="N80" s="29"/>
      <c r="O80" s="29"/>
      <c r="P80" s="29"/>
      <c r="Q80" s="29"/>
    </row>
    <row r="81" spans="1:17" x14ac:dyDescent="0.2">
      <c r="A81" s="47" t="s">
        <v>147</v>
      </c>
      <c r="B81" s="48">
        <v>1.554E-2</v>
      </c>
      <c r="C81" s="48">
        <v>3.6970000000000003E-2</v>
      </c>
      <c r="D81" s="56">
        <v>-3.2849999999999997E-2</v>
      </c>
      <c r="E81" s="49"/>
      <c r="F81" s="46">
        <v>2.4499999999999999E-3</v>
      </c>
      <c r="G81" s="45">
        <v>5.9800000000000001E-3</v>
      </c>
      <c r="H81" s="45">
        <v>9.7800000000000005E-3</v>
      </c>
      <c r="I81" s="29"/>
      <c r="J81" s="29"/>
      <c r="K81" s="29"/>
      <c r="L81" s="29"/>
      <c r="M81" s="29"/>
      <c r="N81" s="29"/>
      <c r="O81" s="29"/>
      <c r="P81" s="29"/>
      <c r="Q81" s="29"/>
    </row>
    <row r="82" spans="1:17" x14ac:dyDescent="0.2">
      <c r="A82" s="44" t="s">
        <v>148</v>
      </c>
      <c r="B82" s="50">
        <v>2924.558</v>
      </c>
      <c r="C82" s="50">
        <v>4251.8289999999997</v>
      </c>
      <c r="D82" s="50">
        <v>10278.665999999999</v>
      </c>
      <c r="E82" s="38"/>
      <c r="F82" s="51">
        <v>10589.085999999999</v>
      </c>
      <c r="G82" s="50">
        <v>14504.35</v>
      </c>
      <c r="H82" s="50">
        <v>18387.055</v>
      </c>
      <c r="I82" s="29"/>
      <c r="J82" s="29"/>
      <c r="K82" s="29"/>
      <c r="L82" s="29"/>
      <c r="M82" s="29"/>
      <c r="N82" s="29"/>
      <c r="O82" s="29"/>
      <c r="P82" s="29"/>
      <c r="Q82" s="29"/>
    </row>
    <row r="83" spans="1:17" x14ac:dyDescent="0.2">
      <c r="A83" s="41" t="s">
        <v>171</v>
      </c>
      <c r="B83" s="42">
        <v>2796</v>
      </c>
      <c r="C83" s="42">
        <v>4332</v>
      </c>
      <c r="D83" s="42">
        <v>9752</v>
      </c>
      <c r="E83" s="38"/>
      <c r="F83" s="43">
        <v>9989.1290000000008</v>
      </c>
      <c r="G83" s="42">
        <v>13773.43</v>
      </c>
      <c r="H83" s="42">
        <v>15861.136</v>
      </c>
      <c r="I83" s="29"/>
      <c r="J83" s="29"/>
      <c r="K83" s="29"/>
      <c r="L83" s="29"/>
      <c r="M83" s="29"/>
      <c r="N83" s="29"/>
      <c r="O83" s="29"/>
      <c r="P83" s="29"/>
      <c r="Q83" s="29"/>
    </row>
    <row r="84" spans="1:17" x14ac:dyDescent="0.2">
      <c r="A84" s="44" t="s">
        <v>146</v>
      </c>
      <c r="B84" s="45">
        <v>-0.32479999999999998</v>
      </c>
      <c r="C84" s="45">
        <v>0.54935999999999996</v>
      </c>
      <c r="D84" s="45">
        <v>1.25115</v>
      </c>
      <c r="E84" s="38"/>
      <c r="F84" s="46">
        <v>2.4320000000000001E-2</v>
      </c>
      <c r="G84" s="45">
        <v>0.37884000000000001</v>
      </c>
      <c r="H84" s="45">
        <v>0.15157000000000001</v>
      </c>
      <c r="I84" s="29"/>
      <c r="J84" s="29"/>
      <c r="K84" s="29"/>
      <c r="L84" s="29"/>
      <c r="M84" s="29"/>
      <c r="N84" s="29"/>
      <c r="O84" s="29"/>
      <c r="P84" s="29"/>
      <c r="Q84" s="29"/>
    </row>
    <row r="85" spans="1:17" x14ac:dyDescent="0.2">
      <c r="A85" s="47" t="s">
        <v>147</v>
      </c>
      <c r="B85" s="48">
        <v>5.0810000000000001E-2</v>
      </c>
      <c r="C85" s="48">
        <v>5.2769999999999997E-2</v>
      </c>
      <c r="D85" s="48">
        <v>4.6420000000000003E-2</v>
      </c>
      <c r="E85" s="49"/>
      <c r="F85" s="46">
        <v>-1.8600000000000001E-3</v>
      </c>
      <c r="G85" s="45">
        <v>-6.7000000000000002E-3</v>
      </c>
      <c r="H85" s="45">
        <v>-3.3E-3</v>
      </c>
      <c r="I85" s="29"/>
      <c r="J85" s="29"/>
      <c r="K85" s="29"/>
      <c r="L85" s="29"/>
      <c r="M85" s="29"/>
      <c r="N85" s="29"/>
      <c r="O85" s="29"/>
      <c r="P85" s="29"/>
      <c r="Q85" s="29"/>
    </row>
    <row r="86" spans="1:17" x14ac:dyDescent="0.2">
      <c r="A86" s="44" t="s">
        <v>148</v>
      </c>
      <c r="B86" s="50">
        <v>2660.8040000000001</v>
      </c>
      <c r="C86" s="50">
        <v>4114.8509999999997</v>
      </c>
      <c r="D86" s="50">
        <v>9319.3690000000006</v>
      </c>
      <c r="E86" s="38"/>
      <c r="F86" s="51">
        <v>9989.1290000000008</v>
      </c>
      <c r="G86" s="50">
        <v>13773.43</v>
      </c>
      <c r="H86" s="50">
        <v>15861.136</v>
      </c>
      <c r="I86" s="29"/>
      <c r="J86" s="29"/>
      <c r="K86" s="29"/>
      <c r="L86" s="29"/>
      <c r="M86" s="29"/>
      <c r="N86" s="29"/>
      <c r="O86" s="29"/>
      <c r="P86" s="29"/>
      <c r="Q86" s="29"/>
    </row>
    <row r="87" spans="1:17" x14ac:dyDescent="0.2">
      <c r="A87" s="41" t="s">
        <v>172</v>
      </c>
      <c r="B87" s="42">
        <v>0.16</v>
      </c>
      <c r="C87" s="42">
        <v>0.16</v>
      </c>
      <c r="D87" s="42" t="s">
        <v>153</v>
      </c>
      <c r="E87" s="38"/>
      <c r="F87" s="43">
        <v>0.17499999999999999</v>
      </c>
      <c r="G87" s="42">
        <v>0.23300000000000001</v>
      </c>
      <c r="H87" s="42">
        <v>0.2</v>
      </c>
      <c r="I87" s="29"/>
      <c r="J87" s="29"/>
      <c r="K87" s="29"/>
      <c r="L87" s="29"/>
      <c r="M87" s="29"/>
      <c r="N87" s="29"/>
      <c r="O87" s="29"/>
      <c r="P87" s="29"/>
      <c r="Q87" s="29"/>
    </row>
    <row r="88" spans="1:17" x14ac:dyDescent="0.2">
      <c r="A88" s="44" t="s">
        <v>146</v>
      </c>
      <c r="B88" s="45">
        <v>6.6669999999999993E-2</v>
      </c>
      <c r="C88" s="45">
        <v>0</v>
      </c>
      <c r="D88" s="45" t="s">
        <v>153</v>
      </c>
      <c r="E88" s="38"/>
      <c r="F88" s="46">
        <v>5.1479999999999998E-2</v>
      </c>
      <c r="G88" s="45">
        <v>0.33351999999999998</v>
      </c>
      <c r="H88" s="45">
        <v>-0.14111000000000001</v>
      </c>
      <c r="I88" s="29"/>
      <c r="J88" s="29"/>
      <c r="K88" s="29"/>
      <c r="L88" s="29"/>
      <c r="M88" s="29"/>
      <c r="N88" s="29"/>
      <c r="O88" s="29"/>
      <c r="P88" s="29"/>
      <c r="Q88" s="29"/>
    </row>
    <row r="89" spans="1:17" x14ac:dyDescent="0.2">
      <c r="A89" s="47" t="s">
        <v>147</v>
      </c>
      <c r="B89" s="45">
        <v>-1.213E-2</v>
      </c>
      <c r="C89" s="56">
        <v>-1.634E-2</v>
      </c>
      <c r="D89" s="45" t="s">
        <v>153</v>
      </c>
      <c r="E89" s="49"/>
      <c r="F89" s="57">
        <v>8.1509999999999999E-2</v>
      </c>
      <c r="G89" s="48">
        <v>2.52E-2</v>
      </c>
      <c r="H89" s="45">
        <v>-7.3999999999999999E-4</v>
      </c>
      <c r="I89" s="29"/>
      <c r="J89" s="29"/>
      <c r="K89" s="29"/>
      <c r="L89" s="29"/>
      <c r="M89" s="29"/>
      <c r="N89" s="29"/>
      <c r="O89" s="29"/>
      <c r="P89" s="29"/>
      <c r="Q89" s="29"/>
    </row>
    <row r="90" spans="1:17" x14ac:dyDescent="0.2">
      <c r="A90" s="44" t="s">
        <v>148</v>
      </c>
      <c r="B90" s="50">
        <v>0.16200000000000001</v>
      </c>
      <c r="C90" s="50">
        <v>0.16300000000000001</v>
      </c>
      <c r="D90" s="50">
        <v>0.16600000000000001</v>
      </c>
      <c r="E90" s="38"/>
      <c r="F90" s="51">
        <v>0.17499999999999999</v>
      </c>
      <c r="G90" s="50">
        <v>0.23300000000000001</v>
      </c>
      <c r="H90" s="50">
        <v>0.2</v>
      </c>
      <c r="I90" s="29"/>
      <c r="J90" s="29"/>
      <c r="K90" s="29"/>
      <c r="L90" s="29"/>
      <c r="M90" s="29"/>
      <c r="N90" s="29"/>
      <c r="O90" s="29"/>
      <c r="P90" s="29"/>
      <c r="Q90" s="29"/>
    </row>
    <row r="91" spans="1:17" x14ac:dyDescent="0.2">
      <c r="A91" s="44" t="s">
        <v>151</v>
      </c>
      <c r="B91" s="50" t="s">
        <v>152</v>
      </c>
      <c r="C91" s="50" t="s">
        <v>153</v>
      </c>
      <c r="D91" s="50" t="s">
        <v>153</v>
      </c>
      <c r="E91" s="38"/>
      <c r="F91" s="51" t="s">
        <v>153</v>
      </c>
      <c r="G91" s="50" t="s">
        <v>153</v>
      </c>
      <c r="H91" s="50" t="s">
        <v>153</v>
      </c>
      <c r="I91" s="29"/>
      <c r="J91" s="29"/>
      <c r="K91" s="29"/>
      <c r="L91" s="29"/>
      <c r="M91" s="29"/>
      <c r="N91" s="29"/>
      <c r="O91" s="29"/>
      <c r="P91" s="29"/>
      <c r="Q91" s="29"/>
    </row>
    <row r="92" spans="1:17" x14ac:dyDescent="0.2">
      <c r="A92" s="157"/>
      <c r="B92" s="158"/>
      <c r="C92" s="158"/>
      <c r="D92" s="158"/>
      <c r="E92" s="158"/>
      <c r="F92" s="158"/>
      <c r="G92" s="158"/>
      <c r="H92" s="159"/>
      <c r="I92" s="29"/>
      <c r="J92" s="29"/>
      <c r="K92" s="29"/>
      <c r="L92" s="29"/>
      <c r="M92" s="29"/>
      <c r="N92" s="29"/>
      <c r="O92" s="29"/>
      <c r="P92" s="29"/>
      <c r="Q92" s="29"/>
    </row>
  </sheetData>
  <mergeCells count="5">
    <mergeCell ref="B1:G1"/>
    <mergeCell ref="B5:Q5"/>
    <mergeCell ref="F7:H7"/>
    <mergeCell ref="A32:H32"/>
    <mergeCell ref="A92:H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055F-C187-0C4F-8BCD-0EFAA1F3D4E7}">
  <dimension ref="B2:C19"/>
  <sheetViews>
    <sheetView workbookViewId="0">
      <selection activeCell="C15" sqref="C15"/>
    </sheetView>
  </sheetViews>
  <sheetFormatPr baseColWidth="10" defaultRowHeight="16" x14ac:dyDescent="0.2"/>
  <cols>
    <col min="2" max="2" width="19.83203125" customWidth="1"/>
  </cols>
  <sheetData>
    <row r="2" spans="2:3" x14ac:dyDescent="0.2">
      <c r="B2" t="s">
        <v>201</v>
      </c>
    </row>
    <row r="5" spans="2:3" x14ac:dyDescent="0.2">
      <c r="B5" t="s">
        <v>210</v>
      </c>
      <c r="C5" s="114">
        <v>10946</v>
      </c>
    </row>
    <row r="6" spans="2:3" x14ac:dyDescent="0.2">
      <c r="B6" t="s">
        <v>211</v>
      </c>
      <c r="C6" s="19">
        <f>C5/C17</f>
        <v>2.8427772266170794E-2</v>
      </c>
    </row>
    <row r="7" spans="2:3" x14ac:dyDescent="0.2">
      <c r="B7" t="s">
        <v>202</v>
      </c>
      <c r="C7" s="19">
        <v>2.5000000000000001E-2</v>
      </c>
    </row>
    <row r="8" spans="2:3" x14ac:dyDescent="0.2">
      <c r="B8" t="s">
        <v>203</v>
      </c>
      <c r="C8" s="75">
        <v>0.11</v>
      </c>
    </row>
    <row r="9" spans="2:3" x14ac:dyDescent="0.2">
      <c r="C9" s="114"/>
    </row>
    <row r="10" spans="2:3" x14ac:dyDescent="0.2">
      <c r="B10" t="s">
        <v>204</v>
      </c>
      <c r="C10" s="114">
        <v>374100</v>
      </c>
    </row>
    <row r="11" spans="2:3" x14ac:dyDescent="0.2">
      <c r="B11" t="s">
        <v>205</v>
      </c>
      <c r="C11" s="19">
        <f>C10/C17</f>
        <v>0.97157222773382923</v>
      </c>
    </row>
    <row r="12" spans="2:3" x14ac:dyDescent="0.2">
      <c r="B12" t="s">
        <v>206</v>
      </c>
      <c r="C12" s="116">
        <f>C13+C14*(C15)</f>
        <v>9.8241999999999996E-2</v>
      </c>
    </row>
    <row r="13" spans="2:3" x14ac:dyDescent="0.2">
      <c r="B13" t="s">
        <v>207</v>
      </c>
      <c r="C13" s="116">
        <v>2.913E-2</v>
      </c>
    </row>
    <row r="14" spans="2:3" x14ac:dyDescent="0.2">
      <c r="B14" t="s">
        <v>208</v>
      </c>
      <c r="C14" s="113">
        <v>1.63</v>
      </c>
    </row>
    <row r="15" spans="2:3" x14ac:dyDescent="0.2">
      <c r="B15" t="s">
        <v>209</v>
      </c>
      <c r="C15" s="115">
        <v>4.24E-2</v>
      </c>
    </row>
    <row r="17" spans="2:3" x14ac:dyDescent="0.2">
      <c r="B17" t="s">
        <v>212</v>
      </c>
      <c r="C17" s="114">
        <f>C5+C10</f>
        <v>385046</v>
      </c>
    </row>
    <row r="19" spans="2:3" x14ac:dyDescent="0.2">
      <c r="B19" t="s">
        <v>188</v>
      </c>
      <c r="C19" s="117">
        <f>(C6*C7*(1-C8)) + C11*C12</f>
        <v>9.608171672994914E-2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DCF</vt:lpstr>
      <vt:lpstr>Income Statement</vt:lpstr>
      <vt:lpstr>Balance Sheet</vt:lpstr>
      <vt:lpstr>Cash Flow Statement</vt:lpstr>
      <vt:lpstr>Analyst Estimates</vt:lpstr>
      <vt:lpstr>WACC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2022-07-05T17:35:54Z</dcterms:created>
  <dcterms:modified xsi:type="dcterms:W3CDTF">2022-07-06T17:18:48Z</dcterms:modified>
</cp:coreProperties>
</file>