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Hermoncito\Financial engineering I - COURSERA\week 4 - Option pricing in the multi-period Binomial model\"/>
    </mc:Choice>
  </mc:AlternateContent>
  <bookViews>
    <workbookView xWindow="0" yWindow="0" windowWidth="20490" windowHeight="7755" firstSheet="3" activeTab="3"/>
  </bookViews>
  <sheets>
    <sheet name="EuropeanCall_EG" sheetId="4" r:id="rId1"/>
    <sheet name="AmericanPut_EG" sheetId="5" r:id="rId2"/>
    <sheet name="10PeriodBinomialModel" sheetId="7" r:id="rId3"/>
    <sheet name="15PeriodBinomialModelCall" sheetId="9" r:id="rId4"/>
    <sheet name="15PeriodBinomialModelPut" sheetId="10" r:id="rId5"/>
    <sheet name="earlystoping" sheetId="12" r:id="rId6"/>
    <sheet name="FutOptEarly" sheetId="13" r:id="rId7"/>
    <sheet name="choserOption" sheetId="14" r:id="rId8"/>
    <sheet name="OptionsOnFuturesEG" sheetId="6" r:id="rId9"/>
    <sheet name="Q6-Q7" sheetId="15" r:id="rId10"/>
  </sheets>
  <definedNames>
    <definedName name="FuturesLattice" localSheetId="8">OptionsOnFuturesEG!$A$29:$N$42</definedName>
    <definedName name="FuturesLattice">#REF!</definedName>
    <definedName name="FuturesOptionLattice" localSheetId="8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8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8">OptionsOnFuturesEG!#REF!</definedName>
    <definedName name="StockLattice">#REF!</definedName>
    <definedName name="StockLattice_2" localSheetId="8">OptionsOnFuturesEG!$A$13:$N$26</definedName>
    <definedName name="StockLattice_2">#REF!</definedName>
  </definedNames>
  <calcPr calcId="152511" iterateDelta="1E-4"/>
</workbook>
</file>

<file path=xl/calcChain.xml><?xml version="1.0" encoding="utf-8"?>
<calcChain xmlns="http://schemas.openxmlformats.org/spreadsheetml/2006/main">
  <c r="B114" i="10" l="1"/>
  <c r="A120" i="10"/>
  <c r="B109" i="15"/>
  <c r="K100" i="15"/>
  <c r="L100" i="15"/>
  <c r="J101" i="15"/>
  <c r="K101" i="15"/>
  <c r="L101" i="15"/>
  <c r="I102" i="15"/>
  <c r="J102" i="15"/>
  <c r="K102" i="15"/>
  <c r="L102" i="15"/>
  <c r="H103" i="15"/>
  <c r="I103" i="15"/>
  <c r="J103" i="15"/>
  <c r="K103" i="15"/>
  <c r="L103" i="15"/>
  <c r="G104" i="15"/>
  <c r="H104" i="15"/>
  <c r="I104" i="15"/>
  <c r="J104" i="15"/>
  <c r="K104" i="15"/>
  <c r="L104" i="15"/>
  <c r="F105" i="15"/>
  <c r="G105" i="15"/>
  <c r="H105" i="15"/>
  <c r="I105" i="15"/>
  <c r="J105" i="15"/>
  <c r="K105" i="15"/>
  <c r="L105" i="15"/>
  <c r="E106" i="15"/>
  <c r="F106" i="15"/>
  <c r="G106" i="15"/>
  <c r="H106" i="15"/>
  <c r="I106" i="15"/>
  <c r="J106" i="15"/>
  <c r="K106" i="15"/>
  <c r="L106" i="15"/>
  <c r="D107" i="15"/>
  <c r="E107" i="15"/>
  <c r="F107" i="15"/>
  <c r="G107" i="15"/>
  <c r="H107" i="15"/>
  <c r="I107" i="15"/>
  <c r="J107" i="15"/>
  <c r="K107" i="15"/>
  <c r="L107" i="15"/>
  <c r="C108" i="15"/>
  <c r="D108" i="15"/>
  <c r="E108" i="15"/>
  <c r="F108" i="15"/>
  <c r="G108" i="15"/>
  <c r="H108" i="15"/>
  <c r="I108" i="15"/>
  <c r="J108" i="15"/>
  <c r="K108" i="15"/>
  <c r="L108" i="15"/>
  <c r="C109" i="15"/>
  <c r="D109" i="15"/>
  <c r="E109" i="15"/>
  <c r="F109" i="15"/>
  <c r="G109" i="15"/>
  <c r="H109" i="15"/>
  <c r="I109" i="15"/>
  <c r="J109" i="15"/>
  <c r="K109" i="15"/>
  <c r="L109" i="15"/>
  <c r="L99" i="15"/>
  <c r="B98" i="15"/>
  <c r="C98" i="15" s="1"/>
  <c r="D98" i="15" s="1"/>
  <c r="E98" i="15" s="1"/>
  <c r="F98" i="15" s="1"/>
  <c r="G98" i="15" s="1"/>
  <c r="I98" i="15" s="1"/>
  <c r="J98" i="15" s="1"/>
  <c r="K98" i="15" s="1"/>
  <c r="L98" i="15" s="1"/>
  <c r="A99" i="15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K85" i="15"/>
  <c r="L85" i="15"/>
  <c r="J86" i="15"/>
  <c r="K86" i="15"/>
  <c r="L86" i="15"/>
  <c r="I87" i="15"/>
  <c r="J87" i="15"/>
  <c r="K87" i="15"/>
  <c r="L87" i="15"/>
  <c r="H88" i="15"/>
  <c r="I88" i="15"/>
  <c r="J88" i="15"/>
  <c r="K88" i="15"/>
  <c r="L88" i="15"/>
  <c r="G89" i="15"/>
  <c r="H89" i="15"/>
  <c r="I89" i="15"/>
  <c r="J89" i="15"/>
  <c r="K89" i="15"/>
  <c r="L89" i="15"/>
  <c r="F90" i="15"/>
  <c r="G90" i="15"/>
  <c r="H90" i="15"/>
  <c r="I90" i="15"/>
  <c r="J90" i="15"/>
  <c r="K90" i="15"/>
  <c r="L90" i="15"/>
  <c r="E91" i="15"/>
  <c r="F91" i="15"/>
  <c r="G91" i="15"/>
  <c r="H91" i="15"/>
  <c r="I91" i="15"/>
  <c r="J91" i="15"/>
  <c r="K91" i="15"/>
  <c r="L91" i="15"/>
  <c r="D92" i="15"/>
  <c r="E92" i="15"/>
  <c r="F92" i="15"/>
  <c r="G92" i="15"/>
  <c r="H92" i="15"/>
  <c r="I92" i="15"/>
  <c r="J92" i="15"/>
  <c r="K92" i="15"/>
  <c r="L92" i="15"/>
  <c r="C93" i="15"/>
  <c r="D93" i="15"/>
  <c r="E93" i="15"/>
  <c r="F93" i="15"/>
  <c r="G93" i="15"/>
  <c r="H93" i="15"/>
  <c r="I93" i="15"/>
  <c r="J93" i="15"/>
  <c r="K93" i="15"/>
  <c r="L93" i="15"/>
  <c r="B94" i="15"/>
  <c r="C94" i="15"/>
  <c r="D94" i="15"/>
  <c r="E94" i="15"/>
  <c r="F94" i="15"/>
  <c r="G94" i="15"/>
  <c r="H94" i="15"/>
  <c r="I94" i="15"/>
  <c r="J94" i="15"/>
  <c r="K94" i="15"/>
  <c r="L94" i="15"/>
  <c r="L84" i="15"/>
  <c r="B83" i="15"/>
  <c r="C83" i="15" s="1"/>
  <c r="D83" i="15" s="1"/>
  <c r="E83" i="15" s="1"/>
  <c r="F83" i="15" s="1"/>
  <c r="G83" i="15" s="1"/>
  <c r="H83" i="15" s="1"/>
  <c r="I83" i="15" s="1"/>
  <c r="J83" i="15" s="1"/>
  <c r="K83" i="15" s="1"/>
  <c r="L83" i="15" s="1"/>
  <c r="A84" i="15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E76" i="15"/>
  <c r="C79" i="15"/>
  <c r="B79" i="15"/>
  <c r="K70" i="15"/>
  <c r="L70" i="15"/>
  <c r="J71" i="15"/>
  <c r="K71" i="15"/>
  <c r="L71" i="15"/>
  <c r="I72" i="15"/>
  <c r="J72" i="15"/>
  <c r="K72" i="15"/>
  <c r="L72" i="15"/>
  <c r="H73" i="15"/>
  <c r="I73" i="15"/>
  <c r="J73" i="15"/>
  <c r="K73" i="15"/>
  <c r="L73" i="15"/>
  <c r="G74" i="15"/>
  <c r="H74" i="15"/>
  <c r="I74" i="15"/>
  <c r="J74" i="15"/>
  <c r="K74" i="15"/>
  <c r="L74" i="15"/>
  <c r="F75" i="15"/>
  <c r="G75" i="15"/>
  <c r="H75" i="15"/>
  <c r="I75" i="15"/>
  <c r="J75" i="15"/>
  <c r="K75" i="15"/>
  <c r="L75" i="15"/>
  <c r="F76" i="15"/>
  <c r="G76" i="15"/>
  <c r="H76" i="15"/>
  <c r="I76" i="15"/>
  <c r="J76" i="15"/>
  <c r="K76" i="15"/>
  <c r="L76" i="15"/>
  <c r="D77" i="15"/>
  <c r="E77" i="15"/>
  <c r="F77" i="15"/>
  <c r="G77" i="15"/>
  <c r="H77" i="15"/>
  <c r="I77" i="15"/>
  <c r="J77" i="15"/>
  <c r="K77" i="15"/>
  <c r="L77" i="15"/>
  <c r="C78" i="15"/>
  <c r="D78" i="15"/>
  <c r="E78" i="15"/>
  <c r="F78" i="15"/>
  <c r="G78" i="15"/>
  <c r="H78" i="15"/>
  <c r="I78" i="15"/>
  <c r="J78" i="15"/>
  <c r="K78" i="15"/>
  <c r="L78" i="15"/>
  <c r="D79" i="15"/>
  <c r="E79" i="15"/>
  <c r="F79" i="15"/>
  <c r="G79" i="15"/>
  <c r="H79" i="15"/>
  <c r="I79" i="15"/>
  <c r="J79" i="15"/>
  <c r="K79" i="15"/>
  <c r="L79" i="15"/>
  <c r="L69" i="15"/>
  <c r="B68" i="15"/>
  <c r="C68" i="15" s="1"/>
  <c r="D68" i="15" s="1"/>
  <c r="E68" i="15" s="1"/>
  <c r="F68" i="15" s="1"/>
  <c r="G68" i="15" s="1"/>
  <c r="H68" i="15" s="1"/>
  <c r="I68" i="15" s="1"/>
  <c r="J68" i="15" s="1"/>
  <c r="K68" i="15" s="1"/>
  <c r="L68" i="15" s="1"/>
  <c r="A69" i="15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B65" i="15"/>
  <c r="K57" i="15"/>
  <c r="J57" i="15" s="1"/>
  <c r="K58" i="15"/>
  <c r="J59" i="15" s="1"/>
  <c r="K59" i="15"/>
  <c r="K60" i="15"/>
  <c r="J61" i="15" s="1"/>
  <c r="K61" i="15"/>
  <c r="K62" i="15"/>
  <c r="J63" i="15" s="1"/>
  <c r="K63" i="15"/>
  <c r="K64" i="15"/>
  <c r="J65" i="15" s="1"/>
  <c r="K65" i="15"/>
  <c r="K56" i="15"/>
  <c r="L56" i="15"/>
  <c r="L57" i="15"/>
  <c r="L58" i="15"/>
  <c r="L59" i="15"/>
  <c r="L60" i="15"/>
  <c r="L61" i="15"/>
  <c r="L62" i="15"/>
  <c r="L63" i="15"/>
  <c r="L64" i="15"/>
  <c r="L65" i="15"/>
  <c r="L55" i="15"/>
  <c r="D54" i="15"/>
  <c r="E54" i="15" s="1"/>
  <c r="F54" i="15" s="1"/>
  <c r="G54" i="15" s="1"/>
  <c r="H54" i="15" s="1"/>
  <c r="I54" i="15" s="1"/>
  <c r="J54" i="15" s="1"/>
  <c r="K54" i="15" s="1"/>
  <c r="L54" i="15" s="1"/>
  <c r="C54" i="15"/>
  <c r="B54" i="15"/>
  <c r="A57" i="15"/>
  <c r="A58" i="15" s="1"/>
  <c r="A59" i="15" s="1"/>
  <c r="A60" i="15" s="1"/>
  <c r="A61" i="15" s="1"/>
  <c r="A62" i="15" s="1"/>
  <c r="A63" i="15" s="1"/>
  <c r="A64" i="15" s="1"/>
  <c r="A65" i="15" s="1"/>
  <c r="A56" i="15"/>
  <c r="A55" i="15"/>
  <c r="P36" i="15"/>
  <c r="O37" i="15" s="1"/>
  <c r="J27" i="15"/>
  <c r="P37" i="15"/>
  <c r="P38" i="15"/>
  <c r="O38" i="15" s="1"/>
  <c r="P41" i="15"/>
  <c r="P42" i="15"/>
  <c r="O42" i="15" s="1"/>
  <c r="N43" i="15" s="1"/>
  <c r="O43" i="15"/>
  <c r="P43" i="15"/>
  <c r="O44" i="15" s="1"/>
  <c r="N45" i="15" s="1"/>
  <c r="M46" i="15" s="1"/>
  <c r="L47" i="15" s="1"/>
  <c r="P44" i="15"/>
  <c r="O45" i="15" s="1"/>
  <c r="N46" i="15" s="1"/>
  <c r="M47" i="15" s="1"/>
  <c r="P45" i="15"/>
  <c r="P46" i="15"/>
  <c r="O46" i="15" s="1"/>
  <c r="N47" i="15" s="1"/>
  <c r="O47" i="15"/>
  <c r="P47" i="15"/>
  <c r="P48" i="15"/>
  <c r="O49" i="15" s="1"/>
  <c r="P49" i="15"/>
  <c r="N50" i="15"/>
  <c r="P50" i="15"/>
  <c r="O50" i="15" s="1"/>
  <c r="K31" i="6"/>
  <c r="Q36" i="15"/>
  <c r="Q37" i="15"/>
  <c r="Q38" i="15"/>
  <c r="Q40" i="15"/>
  <c r="Q41" i="15"/>
  <c r="Q42" i="15"/>
  <c r="Q43" i="15"/>
  <c r="Q44" i="15"/>
  <c r="Q45" i="15"/>
  <c r="Q46" i="15"/>
  <c r="Q47" i="15"/>
  <c r="Q48" i="15"/>
  <c r="Q49" i="15"/>
  <c r="Q50" i="15"/>
  <c r="Q35" i="15"/>
  <c r="P29" i="15"/>
  <c r="D34" i="15"/>
  <c r="E34" i="15" s="1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C34" i="15"/>
  <c r="B34" i="15"/>
  <c r="A36" i="15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35" i="15"/>
  <c r="F29" i="15"/>
  <c r="D31" i="15"/>
  <c r="B31" i="15"/>
  <c r="C31" i="15" s="1"/>
  <c r="C29" i="15"/>
  <c r="D28" i="15"/>
  <c r="C28" i="15"/>
  <c r="E27" i="15"/>
  <c r="D27" i="15"/>
  <c r="C27" i="15"/>
  <c r="F26" i="15"/>
  <c r="E26" i="15"/>
  <c r="D26" i="15"/>
  <c r="C26" i="15"/>
  <c r="G25" i="15"/>
  <c r="F25" i="15"/>
  <c r="E25" i="15"/>
  <c r="D25" i="15"/>
  <c r="C25" i="15"/>
  <c r="H24" i="15"/>
  <c r="G24" i="15"/>
  <c r="F24" i="15"/>
  <c r="E24" i="15"/>
  <c r="D24" i="15"/>
  <c r="C24" i="15"/>
  <c r="I23" i="15"/>
  <c r="H23" i="15"/>
  <c r="G23" i="15"/>
  <c r="F23" i="15"/>
  <c r="E23" i="15"/>
  <c r="D23" i="15"/>
  <c r="C23" i="15"/>
  <c r="J22" i="15"/>
  <c r="I22" i="15"/>
  <c r="H22" i="15"/>
  <c r="G22" i="15"/>
  <c r="F22" i="15"/>
  <c r="E22" i="15"/>
  <c r="D22" i="15"/>
  <c r="C22" i="15"/>
  <c r="K21" i="15"/>
  <c r="J21" i="15"/>
  <c r="I21" i="15"/>
  <c r="H21" i="15"/>
  <c r="G21" i="15"/>
  <c r="F21" i="15"/>
  <c r="E21" i="15"/>
  <c r="D21" i="15"/>
  <c r="C21" i="15"/>
  <c r="B12" i="15"/>
  <c r="B13" i="15" s="1"/>
  <c r="B8" i="15"/>
  <c r="B9" i="15" s="1"/>
  <c r="B10" i="15" s="1"/>
  <c r="B11" i="15" s="1"/>
  <c r="G2" i="15"/>
  <c r="Y46" i="6"/>
  <c r="K31" i="13"/>
  <c r="Q58" i="9"/>
  <c r="B8" i="9"/>
  <c r="B12" i="9"/>
  <c r="B10" i="9"/>
  <c r="I60" i="15" l="1"/>
  <c r="H61" i="15" s="1"/>
  <c r="J64" i="15"/>
  <c r="I65" i="15" s="1"/>
  <c r="J62" i="15"/>
  <c r="I63" i="15" s="1"/>
  <c r="J60" i="15"/>
  <c r="I61" i="15" s="1"/>
  <c r="J58" i="15"/>
  <c r="I59" i="15" s="1"/>
  <c r="O48" i="15"/>
  <c r="N49" i="15" s="1"/>
  <c r="M50" i="15" s="1"/>
  <c r="N38" i="15"/>
  <c r="N44" i="15"/>
  <c r="M45" i="15" s="1"/>
  <c r="L46" i="15" s="1"/>
  <c r="K47" i="15" s="1"/>
  <c r="D30" i="15"/>
  <c r="E29" i="15" s="1"/>
  <c r="F28" i="15" s="1"/>
  <c r="G27" i="15" s="1"/>
  <c r="H26" i="15" s="1"/>
  <c r="I25" i="15" s="1"/>
  <c r="J24" i="15" s="1"/>
  <c r="K23" i="15" s="1"/>
  <c r="L22" i="15" s="1"/>
  <c r="M21" i="15" s="1"/>
  <c r="N20" i="15" s="1"/>
  <c r="O19" i="15" s="1"/>
  <c r="P18" i="15" s="1"/>
  <c r="Q17" i="15" s="1"/>
  <c r="C30" i="15"/>
  <c r="D29" i="15" s="1"/>
  <c r="E28" i="15" s="1"/>
  <c r="F27" i="15" s="1"/>
  <c r="G26" i="15" s="1"/>
  <c r="H25" i="15" s="1"/>
  <c r="I24" i="15" s="1"/>
  <c r="J23" i="15" s="1"/>
  <c r="K22" i="15" s="1"/>
  <c r="L21" i="15" s="1"/>
  <c r="M20" i="15" s="1"/>
  <c r="N19" i="15" s="1"/>
  <c r="O18" i="15" s="1"/>
  <c r="P17" i="15" s="1"/>
  <c r="Q16" i="15" s="1"/>
  <c r="N87" i="14"/>
  <c r="N82" i="14"/>
  <c r="N83" i="14"/>
  <c r="N84" i="14"/>
  <c r="N85" i="14"/>
  <c r="N86" i="14"/>
  <c r="N88" i="14"/>
  <c r="N89" i="14"/>
  <c r="N90" i="14"/>
  <c r="N91" i="14"/>
  <c r="N81" i="14"/>
  <c r="S100" i="10"/>
  <c r="F61" i="6"/>
  <c r="T99" i="10"/>
  <c r="S99" i="10"/>
  <c r="S114" i="10"/>
  <c r="T114" i="10" s="1"/>
  <c r="S113" i="10"/>
  <c r="T113" i="10" s="1"/>
  <c r="S112" i="10"/>
  <c r="T112" i="10" s="1"/>
  <c r="S111" i="10"/>
  <c r="T111" i="10" s="1"/>
  <c r="S110" i="10"/>
  <c r="T110" i="10" s="1"/>
  <c r="S109" i="10"/>
  <c r="T109" i="10" s="1"/>
  <c r="S108" i="10"/>
  <c r="T108" i="10" s="1"/>
  <c r="S107" i="10"/>
  <c r="T107" i="10" s="1"/>
  <c r="S106" i="10"/>
  <c r="T106" i="10" s="1"/>
  <c r="S105" i="10"/>
  <c r="T105" i="10" s="1"/>
  <c r="S104" i="10"/>
  <c r="T104" i="10" s="1"/>
  <c r="S103" i="10"/>
  <c r="T103" i="10" s="1"/>
  <c r="S102" i="10"/>
  <c r="T102" i="10" s="1"/>
  <c r="S101" i="10"/>
  <c r="T101" i="10" s="1"/>
  <c r="T100" i="10"/>
  <c r="U99" i="10" s="1"/>
  <c r="C113" i="10"/>
  <c r="C114" i="10"/>
  <c r="D112" i="10"/>
  <c r="D113" i="10"/>
  <c r="D114" i="10"/>
  <c r="E111" i="10"/>
  <c r="E112" i="10"/>
  <c r="E113" i="10"/>
  <c r="E114" i="10"/>
  <c r="F110" i="10"/>
  <c r="F111" i="10"/>
  <c r="F112" i="10"/>
  <c r="F113" i="10"/>
  <c r="F114" i="10"/>
  <c r="K106" i="10"/>
  <c r="K107" i="10"/>
  <c r="K108" i="10"/>
  <c r="K109" i="10"/>
  <c r="K110" i="10"/>
  <c r="K111" i="10"/>
  <c r="K112" i="10"/>
  <c r="K113" i="10"/>
  <c r="K114" i="10"/>
  <c r="J107" i="10"/>
  <c r="J108" i="10"/>
  <c r="J109" i="10"/>
  <c r="J110" i="10"/>
  <c r="J111" i="10"/>
  <c r="J112" i="10"/>
  <c r="J113" i="10"/>
  <c r="J114" i="10"/>
  <c r="I108" i="10"/>
  <c r="I109" i="10"/>
  <c r="I110" i="10"/>
  <c r="I111" i="10"/>
  <c r="I112" i="10"/>
  <c r="I113" i="10"/>
  <c r="I114" i="10"/>
  <c r="H109" i="10"/>
  <c r="H110" i="10"/>
  <c r="H111" i="10"/>
  <c r="H112" i="10"/>
  <c r="H113" i="10"/>
  <c r="H114" i="10"/>
  <c r="G110" i="10"/>
  <c r="G111" i="10"/>
  <c r="G112" i="10"/>
  <c r="G113" i="10"/>
  <c r="G114" i="10"/>
  <c r="G109" i="10"/>
  <c r="H108" i="10"/>
  <c r="I107" i="10"/>
  <c r="J106" i="10"/>
  <c r="K105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M104" i="10"/>
  <c r="M105" i="10"/>
  <c r="M106" i="10"/>
  <c r="M107" i="10"/>
  <c r="M108" i="10"/>
  <c r="M109" i="10"/>
  <c r="M110" i="10"/>
  <c r="M111" i="10"/>
  <c r="M112" i="10"/>
  <c r="M113" i="10"/>
  <c r="M114" i="10"/>
  <c r="L105" i="10"/>
  <c r="L106" i="10"/>
  <c r="L107" i="10"/>
  <c r="L108" i="10"/>
  <c r="L109" i="10"/>
  <c r="L110" i="10"/>
  <c r="L111" i="10"/>
  <c r="L112" i="10"/>
  <c r="L113" i="10"/>
  <c r="L114" i="10"/>
  <c r="L104" i="10"/>
  <c r="M103" i="10"/>
  <c r="N102" i="10"/>
  <c r="O101" i="10"/>
  <c r="P100" i="10"/>
  <c r="Q99" i="10"/>
  <c r="B73" i="10"/>
  <c r="N87" i="10"/>
  <c r="G2" i="10"/>
  <c r="B31" i="10"/>
  <c r="C29" i="10"/>
  <c r="D28" i="10"/>
  <c r="C28" i="10"/>
  <c r="E27" i="10"/>
  <c r="D27" i="10"/>
  <c r="C27" i="10"/>
  <c r="F26" i="10"/>
  <c r="E26" i="10"/>
  <c r="D26" i="10"/>
  <c r="C26" i="10"/>
  <c r="G25" i="10"/>
  <c r="F25" i="10"/>
  <c r="E25" i="10"/>
  <c r="D25" i="10"/>
  <c r="C25" i="10"/>
  <c r="H24" i="10"/>
  <c r="G24" i="10"/>
  <c r="F24" i="10"/>
  <c r="E24" i="10"/>
  <c r="D24" i="10"/>
  <c r="C24" i="10"/>
  <c r="I23" i="10"/>
  <c r="H23" i="10"/>
  <c r="G23" i="10"/>
  <c r="F23" i="10"/>
  <c r="E23" i="10"/>
  <c r="D23" i="10"/>
  <c r="C23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B13" i="10"/>
  <c r="B12" i="10"/>
  <c r="B9" i="10"/>
  <c r="B10" i="10" s="1"/>
  <c r="B8" i="10"/>
  <c r="R61" i="9"/>
  <c r="S61" i="9" s="1"/>
  <c r="R62" i="9"/>
  <c r="S62" i="9" s="1"/>
  <c r="R65" i="9"/>
  <c r="S65" i="9" s="1"/>
  <c r="R66" i="9"/>
  <c r="S66" i="9" s="1"/>
  <c r="R69" i="9"/>
  <c r="S69" i="9" s="1"/>
  <c r="R70" i="9"/>
  <c r="S70" i="9" s="1"/>
  <c r="R73" i="9"/>
  <c r="S73" i="9" s="1"/>
  <c r="R58" i="9"/>
  <c r="S58" i="9" s="1"/>
  <c r="G2" i="9"/>
  <c r="Q36" i="9"/>
  <c r="B13" i="9"/>
  <c r="Q59" i="9"/>
  <c r="Q60" i="9"/>
  <c r="Q61" i="9"/>
  <c r="P61" i="9" s="1"/>
  <c r="Q62" i="9"/>
  <c r="P63" i="9" s="1"/>
  <c r="Q63" i="9"/>
  <c r="Q64" i="9"/>
  <c r="Q65" i="9"/>
  <c r="P65" i="9" s="1"/>
  <c r="Q66" i="9"/>
  <c r="P67" i="9" s="1"/>
  <c r="Q67" i="9"/>
  <c r="Q68" i="9"/>
  <c r="Q69" i="9"/>
  <c r="Q70" i="9"/>
  <c r="P71" i="9" s="1"/>
  <c r="Q71" i="9"/>
  <c r="Q72" i="9"/>
  <c r="Q73" i="9"/>
  <c r="P59" i="9"/>
  <c r="Q31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O19" i="9"/>
  <c r="O20" i="9"/>
  <c r="O21" i="9"/>
  <c r="O22" i="9"/>
  <c r="O23" i="9"/>
  <c r="O24" i="9"/>
  <c r="O25" i="9"/>
  <c r="O26" i="9"/>
  <c r="O27" i="9"/>
  <c r="O28" i="9"/>
  <c r="O29" i="9"/>
  <c r="O30" i="9"/>
  <c r="N20" i="9"/>
  <c r="N21" i="9"/>
  <c r="N22" i="9"/>
  <c r="N23" i="9"/>
  <c r="N24" i="9"/>
  <c r="N25" i="9"/>
  <c r="N26" i="9"/>
  <c r="N27" i="9"/>
  <c r="N28" i="9"/>
  <c r="N29" i="9"/>
  <c r="N30" i="9"/>
  <c r="M21" i="9"/>
  <c r="M22" i="9"/>
  <c r="M23" i="9"/>
  <c r="M24" i="9"/>
  <c r="M25" i="9"/>
  <c r="M26" i="9"/>
  <c r="M27" i="9"/>
  <c r="M28" i="9"/>
  <c r="M29" i="9"/>
  <c r="M30" i="9"/>
  <c r="L22" i="9"/>
  <c r="L23" i="9"/>
  <c r="L24" i="9"/>
  <c r="L25" i="9"/>
  <c r="L26" i="9"/>
  <c r="L27" i="9"/>
  <c r="L28" i="9"/>
  <c r="L29" i="9"/>
  <c r="L30" i="9"/>
  <c r="K23" i="9"/>
  <c r="K24" i="9"/>
  <c r="K25" i="9"/>
  <c r="K26" i="9"/>
  <c r="K27" i="9"/>
  <c r="K28" i="9"/>
  <c r="K29" i="9"/>
  <c r="K30" i="9"/>
  <c r="J24" i="9"/>
  <c r="J25" i="9"/>
  <c r="J26" i="9"/>
  <c r="J27" i="9"/>
  <c r="J28" i="9"/>
  <c r="J29" i="9"/>
  <c r="J30" i="9"/>
  <c r="I25" i="9"/>
  <c r="I26" i="9"/>
  <c r="I27" i="9"/>
  <c r="I28" i="9"/>
  <c r="I29" i="9"/>
  <c r="I30" i="9"/>
  <c r="H26" i="9"/>
  <c r="H27" i="9"/>
  <c r="H28" i="9"/>
  <c r="H29" i="9"/>
  <c r="H30" i="9"/>
  <c r="G27" i="9"/>
  <c r="G28" i="9"/>
  <c r="G29" i="9"/>
  <c r="G30" i="9"/>
  <c r="F28" i="9"/>
  <c r="F29" i="9"/>
  <c r="F30" i="9"/>
  <c r="E29" i="9"/>
  <c r="E30" i="9"/>
  <c r="D30" i="9"/>
  <c r="C30" i="9"/>
  <c r="Q16" i="9"/>
  <c r="P17" i="9"/>
  <c r="O18" i="9"/>
  <c r="N19" i="9"/>
  <c r="M20" i="9"/>
  <c r="L21" i="9"/>
  <c r="K22" i="9"/>
  <c r="J23" i="9"/>
  <c r="I24" i="9"/>
  <c r="H25" i="9"/>
  <c r="G26" i="9"/>
  <c r="F27" i="9"/>
  <c r="E28" i="9"/>
  <c r="D29" i="9"/>
  <c r="N31" i="9"/>
  <c r="K31" i="9"/>
  <c r="E31" i="9"/>
  <c r="D31" i="9"/>
  <c r="F31" i="9" s="1"/>
  <c r="G31" i="9" s="1"/>
  <c r="H31" i="9" s="1"/>
  <c r="I31" i="9" s="1"/>
  <c r="J31" i="9" s="1"/>
  <c r="L31" i="9" s="1"/>
  <c r="M31" i="9" s="1"/>
  <c r="O31" i="9" s="1"/>
  <c r="P31" i="9" s="1"/>
  <c r="C31" i="9"/>
  <c r="C89" i="14"/>
  <c r="D88" i="14"/>
  <c r="C88" i="14"/>
  <c r="E87" i="14"/>
  <c r="D87" i="14"/>
  <c r="C87" i="14"/>
  <c r="F86" i="14"/>
  <c r="E86" i="14"/>
  <c r="D86" i="14"/>
  <c r="C86" i="14"/>
  <c r="G85" i="14"/>
  <c r="F85" i="14"/>
  <c r="E85" i="14"/>
  <c r="D85" i="14"/>
  <c r="C85" i="14"/>
  <c r="H84" i="14"/>
  <c r="G84" i="14"/>
  <c r="F84" i="14"/>
  <c r="E84" i="14"/>
  <c r="D84" i="14"/>
  <c r="C84" i="14"/>
  <c r="I83" i="14"/>
  <c r="H83" i="14"/>
  <c r="G83" i="14"/>
  <c r="F83" i="14"/>
  <c r="E83" i="14"/>
  <c r="D83" i="14"/>
  <c r="C83" i="14"/>
  <c r="J82" i="14"/>
  <c r="I82" i="14"/>
  <c r="H82" i="14"/>
  <c r="G82" i="14"/>
  <c r="F82" i="14"/>
  <c r="E82" i="14"/>
  <c r="D82" i="14"/>
  <c r="C82" i="14"/>
  <c r="K81" i="14"/>
  <c r="J81" i="14"/>
  <c r="I81" i="14"/>
  <c r="H81" i="14"/>
  <c r="G81" i="14"/>
  <c r="F81" i="14"/>
  <c r="E81" i="14"/>
  <c r="D81" i="14"/>
  <c r="C81" i="14"/>
  <c r="C69" i="14"/>
  <c r="D68" i="14"/>
  <c r="C68" i="14"/>
  <c r="E67" i="14"/>
  <c r="D67" i="14"/>
  <c r="C67" i="14"/>
  <c r="F66" i="14"/>
  <c r="E66" i="14"/>
  <c r="D66" i="14"/>
  <c r="C66" i="14"/>
  <c r="G65" i="14"/>
  <c r="F65" i="14"/>
  <c r="E65" i="14"/>
  <c r="D65" i="14"/>
  <c r="C65" i="14"/>
  <c r="H64" i="14"/>
  <c r="G64" i="14"/>
  <c r="F64" i="14"/>
  <c r="E64" i="14"/>
  <c r="D64" i="14"/>
  <c r="C64" i="14"/>
  <c r="I63" i="14"/>
  <c r="H63" i="14"/>
  <c r="G63" i="14"/>
  <c r="F63" i="14"/>
  <c r="E63" i="14"/>
  <c r="D63" i="14"/>
  <c r="C63" i="14"/>
  <c r="J62" i="14"/>
  <c r="I62" i="14"/>
  <c r="H62" i="14"/>
  <c r="G62" i="14"/>
  <c r="F62" i="14"/>
  <c r="E62" i="14"/>
  <c r="D62" i="14"/>
  <c r="C62" i="14"/>
  <c r="K61" i="14"/>
  <c r="J61" i="14"/>
  <c r="I61" i="14"/>
  <c r="H61" i="14"/>
  <c r="G61" i="14"/>
  <c r="F61" i="14"/>
  <c r="E61" i="14"/>
  <c r="D61" i="14"/>
  <c r="C61" i="14"/>
  <c r="C49" i="14"/>
  <c r="D48" i="14"/>
  <c r="C48" i="14"/>
  <c r="E47" i="14"/>
  <c r="D47" i="14"/>
  <c r="C47" i="14"/>
  <c r="F46" i="14"/>
  <c r="E46" i="14"/>
  <c r="D46" i="14"/>
  <c r="C46" i="14"/>
  <c r="G45" i="14"/>
  <c r="F45" i="14"/>
  <c r="E45" i="14"/>
  <c r="D45" i="14"/>
  <c r="C45" i="14"/>
  <c r="H44" i="14"/>
  <c r="G44" i="14"/>
  <c r="F44" i="14"/>
  <c r="E44" i="14"/>
  <c r="D44" i="14"/>
  <c r="C44" i="14"/>
  <c r="I43" i="14"/>
  <c r="H43" i="14"/>
  <c r="G43" i="14"/>
  <c r="F43" i="14"/>
  <c r="E43" i="14"/>
  <c r="D43" i="14"/>
  <c r="C43" i="14"/>
  <c r="J42" i="14"/>
  <c r="I42" i="14"/>
  <c r="H42" i="14"/>
  <c r="G42" i="14"/>
  <c r="F42" i="14"/>
  <c r="E42" i="14"/>
  <c r="D42" i="14"/>
  <c r="C42" i="14"/>
  <c r="K41" i="14"/>
  <c r="J41" i="14"/>
  <c r="I41" i="14"/>
  <c r="H41" i="14"/>
  <c r="G41" i="14"/>
  <c r="F41" i="14"/>
  <c r="E41" i="14"/>
  <c r="D41" i="14"/>
  <c r="C41" i="14"/>
  <c r="B31" i="14"/>
  <c r="C29" i="14"/>
  <c r="D28" i="14"/>
  <c r="C28" i="14"/>
  <c r="E27" i="14"/>
  <c r="D27" i="14"/>
  <c r="C27" i="14"/>
  <c r="F26" i="14"/>
  <c r="E26" i="14"/>
  <c r="D26" i="14"/>
  <c r="C26" i="14"/>
  <c r="G25" i="14"/>
  <c r="F25" i="14"/>
  <c r="E25" i="14"/>
  <c r="D25" i="14"/>
  <c r="C25" i="14"/>
  <c r="H24" i="14"/>
  <c r="G24" i="14"/>
  <c r="F24" i="14"/>
  <c r="E24" i="14"/>
  <c r="D24" i="14"/>
  <c r="C24" i="14"/>
  <c r="I23" i="14"/>
  <c r="H23" i="14"/>
  <c r="G23" i="14"/>
  <c r="F23" i="14"/>
  <c r="E23" i="14"/>
  <c r="D23" i="14"/>
  <c r="C23" i="14"/>
  <c r="J22" i="14"/>
  <c r="I22" i="14"/>
  <c r="H22" i="14"/>
  <c r="G22" i="14"/>
  <c r="F22" i="14"/>
  <c r="E22" i="14"/>
  <c r="D22" i="14"/>
  <c r="C22" i="14"/>
  <c r="K21" i="14"/>
  <c r="J21" i="14"/>
  <c r="I21" i="14"/>
  <c r="H21" i="14"/>
  <c r="G21" i="14"/>
  <c r="F21" i="14"/>
  <c r="E21" i="14"/>
  <c r="D21" i="14"/>
  <c r="C21" i="14"/>
  <c r="B12" i="14"/>
  <c r="B13" i="14" s="1"/>
  <c r="B8" i="14"/>
  <c r="C73" i="13"/>
  <c r="D72" i="13"/>
  <c r="D73" i="13"/>
  <c r="E71" i="13"/>
  <c r="E72" i="13"/>
  <c r="E73" i="13"/>
  <c r="F70" i="13"/>
  <c r="F71" i="13"/>
  <c r="F72" i="13"/>
  <c r="F73" i="13"/>
  <c r="G69" i="13"/>
  <c r="G70" i="13"/>
  <c r="G71" i="13"/>
  <c r="G72" i="13"/>
  <c r="G73" i="13"/>
  <c r="H68" i="13"/>
  <c r="H69" i="13"/>
  <c r="H70" i="13"/>
  <c r="H71" i="13"/>
  <c r="H72" i="13"/>
  <c r="H73" i="13"/>
  <c r="I67" i="13"/>
  <c r="I68" i="13"/>
  <c r="I69" i="13"/>
  <c r="I70" i="13"/>
  <c r="I71" i="13"/>
  <c r="I72" i="13"/>
  <c r="I73" i="13"/>
  <c r="J66" i="13"/>
  <c r="J67" i="13"/>
  <c r="J68" i="13"/>
  <c r="J69" i="13"/>
  <c r="J70" i="13"/>
  <c r="J71" i="13"/>
  <c r="J72" i="13"/>
  <c r="J73" i="13"/>
  <c r="K64" i="13"/>
  <c r="K65" i="13"/>
  <c r="K66" i="13"/>
  <c r="K67" i="13"/>
  <c r="K68" i="13"/>
  <c r="K69" i="13"/>
  <c r="K70" i="13"/>
  <c r="K71" i="13"/>
  <c r="K72" i="13"/>
  <c r="K73" i="13"/>
  <c r="K47" i="13"/>
  <c r="K48" i="13"/>
  <c r="K49" i="13"/>
  <c r="K50" i="13"/>
  <c r="K51" i="13"/>
  <c r="K52" i="13"/>
  <c r="K53" i="13"/>
  <c r="K54" i="13"/>
  <c r="K55" i="13"/>
  <c r="K56" i="13"/>
  <c r="L46" i="13"/>
  <c r="L64" i="13"/>
  <c r="L65" i="13"/>
  <c r="L66" i="13"/>
  <c r="L67" i="13"/>
  <c r="L68" i="13"/>
  <c r="L69" i="13"/>
  <c r="L70" i="13"/>
  <c r="L71" i="13"/>
  <c r="L72" i="13"/>
  <c r="L73" i="13"/>
  <c r="L63" i="13"/>
  <c r="A65" i="13"/>
  <c r="A66" i="13" s="1"/>
  <c r="A67" i="13" s="1"/>
  <c r="A68" i="13" s="1"/>
  <c r="A69" i="13" s="1"/>
  <c r="A70" i="13" s="1"/>
  <c r="A71" i="13" s="1"/>
  <c r="A72" i="13" s="1"/>
  <c r="A73" i="13" s="1"/>
  <c r="A64" i="13"/>
  <c r="C62" i="13"/>
  <c r="D62" i="13" s="1"/>
  <c r="E62" i="13" s="1"/>
  <c r="F62" i="13" s="1"/>
  <c r="G62" i="13" s="1"/>
  <c r="H62" i="13" s="1"/>
  <c r="I62" i="13" s="1"/>
  <c r="J62" i="13" s="1"/>
  <c r="K62" i="13" s="1"/>
  <c r="L62" i="13" s="1"/>
  <c r="A47" i="13"/>
  <c r="A48" i="13" s="1"/>
  <c r="D45" i="13"/>
  <c r="E45" i="13" s="1"/>
  <c r="F45" i="13" s="1"/>
  <c r="G45" i="13" s="1"/>
  <c r="H45" i="13" s="1"/>
  <c r="I45" i="13" s="1"/>
  <c r="J45" i="13" s="1"/>
  <c r="K45" i="13" s="1"/>
  <c r="L45" i="13" s="1"/>
  <c r="C45" i="13"/>
  <c r="B12" i="13"/>
  <c r="B8" i="13"/>
  <c r="D26" i="5"/>
  <c r="B13" i="12"/>
  <c r="B12" i="12"/>
  <c r="D25" i="5"/>
  <c r="E24" i="5"/>
  <c r="P56" i="6"/>
  <c r="Q55" i="6"/>
  <c r="Q56" i="6"/>
  <c r="R54" i="6"/>
  <c r="R55" i="6"/>
  <c r="R56" i="6"/>
  <c r="S53" i="6"/>
  <c r="S54" i="6"/>
  <c r="S55" i="6"/>
  <c r="S56" i="6"/>
  <c r="T52" i="6"/>
  <c r="T53" i="6"/>
  <c r="T54" i="6"/>
  <c r="T55" i="6"/>
  <c r="T56" i="6"/>
  <c r="U51" i="6"/>
  <c r="U52" i="6"/>
  <c r="U53" i="6"/>
  <c r="U54" i="6"/>
  <c r="U55" i="6"/>
  <c r="U56" i="6"/>
  <c r="V50" i="6"/>
  <c r="V51" i="6"/>
  <c r="V52" i="6"/>
  <c r="V53" i="6"/>
  <c r="V54" i="6"/>
  <c r="V55" i="6"/>
  <c r="V56" i="6"/>
  <c r="W49" i="6"/>
  <c r="W50" i="6"/>
  <c r="W51" i="6"/>
  <c r="W52" i="6"/>
  <c r="W53" i="6"/>
  <c r="W54" i="6"/>
  <c r="W55" i="6"/>
  <c r="W56" i="6"/>
  <c r="X48" i="6"/>
  <c r="X49" i="6"/>
  <c r="X50" i="6"/>
  <c r="X51" i="6"/>
  <c r="X52" i="6"/>
  <c r="X53" i="6"/>
  <c r="X54" i="6"/>
  <c r="X55" i="6"/>
  <c r="X56" i="6"/>
  <c r="X47" i="6"/>
  <c r="Y47" i="6"/>
  <c r="Y48" i="6"/>
  <c r="Y49" i="6"/>
  <c r="Y50" i="6"/>
  <c r="Y51" i="6"/>
  <c r="Y52" i="6"/>
  <c r="Y53" i="6"/>
  <c r="Y54" i="6"/>
  <c r="Y55" i="6"/>
  <c r="Y56" i="6"/>
  <c r="N48" i="6"/>
  <c r="N49" i="6" s="1"/>
  <c r="N50" i="6" s="1"/>
  <c r="N51" i="6" s="1"/>
  <c r="N52" i="6" s="1"/>
  <c r="N53" i="6" s="1"/>
  <c r="N54" i="6" s="1"/>
  <c r="N55" i="6" s="1"/>
  <c r="N56" i="6" s="1"/>
  <c r="N47" i="6"/>
  <c r="P45" i="6"/>
  <c r="Q45" i="6" s="1"/>
  <c r="R45" i="6" s="1"/>
  <c r="S45" i="6" s="1"/>
  <c r="T45" i="6" s="1"/>
  <c r="U45" i="6" s="1"/>
  <c r="V45" i="6" s="1"/>
  <c r="W45" i="6" s="1"/>
  <c r="X45" i="6" s="1"/>
  <c r="Y45" i="6" s="1"/>
  <c r="K47" i="6"/>
  <c r="L46" i="6"/>
  <c r="D56" i="6"/>
  <c r="B12" i="6"/>
  <c r="F62" i="6"/>
  <c r="F63" i="6"/>
  <c r="F64" i="6"/>
  <c r="F65" i="6"/>
  <c r="F66" i="6"/>
  <c r="F67" i="6"/>
  <c r="F68" i="6"/>
  <c r="F69" i="6"/>
  <c r="F70" i="6"/>
  <c r="F71" i="6"/>
  <c r="E71" i="6"/>
  <c r="E62" i="6"/>
  <c r="E63" i="6"/>
  <c r="E64" i="6"/>
  <c r="E65" i="6"/>
  <c r="E66" i="6"/>
  <c r="E67" i="6"/>
  <c r="E68" i="6"/>
  <c r="E69" i="6"/>
  <c r="E70" i="6"/>
  <c r="E61" i="6"/>
  <c r="A48" i="6"/>
  <c r="A49" i="6" s="1"/>
  <c r="A50" i="6" s="1"/>
  <c r="A51" i="6" s="1"/>
  <c r="A52" i="6" s="1"/>
  <c r="A53" i="6" s="1"/>
  <c r="A54" i="6" s="1"/>
  <c r="A55" i="6" s="1"/>
  <c r="A56" i="6" s="1"/>
  <c r="A47" i="6"/>
  <c r="D45" i="6"/>
  <c r="E45" i="6" s="1"/>
  <c r="F45" i="6" s="1"/>
  <c r="G45" i="6" s="1"/>
  <c r="H45" i="6" s="1"/>
  <c r="I45" i="6" s="1"/>
  <c r="J45" i="6" s="1"/>
  <c r="K45" i="6" s="1"/>
  <c r="L45" i="6" s="1"/>
  <c r="C45" i="6"/>
  <c r="C31" i="12"/>
  <c r="B31" i="12"/>
  <c r="C30" i="12"/>
  <c r="C29" i="12"/>
  <c r="D28" i="12"/>
  <c r="C28" i="12"/>
  <c r="E27" i="12"/>
  <c r="D27" i="12"/>
  <c r="C27" i="12"/>
  <c r="F26" i="12"/>
  <c r="E26" i="12"/>
  <c r="D26" i="12"/>
  <c r="C26" i="12"/>
  <c r="G25" i="12"/>
  <c r="F25" i="12"/>
  <c r="E25" i="12"/>
  <c r="D25" i="12"/>
  <c r="C25" i="12"/>
  <c r="H24" i="12"/>
  <c r="G24" i="12"/>
  <c r="F24" i="12"/>
  <c r="E24" i="12"/>
  <c r="D24" i="12"/>
  <c r="C24" i="12"/>
  <c r="I23" i="12"/>
  <c r="H23" i="12"/>
  <c r="G23" i="12"/>
  <c r="F23" i="12"/>
  <c r="E23" i="12"/>
  <c r="D23" i="12"/>
  <c r="C23" i="12"/>
  <c r="J22" i="12"/>
  <c r="I22" i="12"/>
  <c r="H22" i="12"/>
  <c r="G22" i="12"/>
  <c r="F22" i="12"/>
  <c r="E22" i="12"/>
  <c r="D22" i="12"/>
  <c r="C22" i="12"/>
  <c r="K21" i="12"/>
  <c r="J21" i="12"/>
  <c r="I21" i="12"/>
  <c r="H21" i="12"/>
  <c r="G21" i="12"/>
  <c r="F21" i="12"/>
  <c r="E21" i="12"/>
  <c r="D21" i="12"/>
  <c r="C21" i="12"/>
  <c r="B10" i="12"/>
  <c r="B9" i="12"/>
  <c r="B8" i="12"/>
  <c r="B51" i="9"/>
  <c r="C51" i="9"/>
  <c r="B31" i="9"/>
  <c r="C29" i="9"/>
  <c r="D28" i="9"/>
  <c r="C28" i="9"/>
  <c r="E27" i="9"/>
  <c r="D27" i="9"/>
  <c r="C27" i="9"/>
  <c r="F26" i="9"/>
  <c r="E26" i="9"/>
  <c r="D26" i="9"/>
  <c r="C26" i="9"/>
  <c r="G25" i="9"/>
  <c r="F25" i="9"/>
  <c r="E25" i="9"/>
  <c r="D25" i="9"/>
  <c r="C25" i="9"/>
  <c r="H24" i="9"/>
  <c r="G24" i="9"/>
  <c r="F24" i="9"/>
  <c r="E24" i="9"/>
  <c r="D24" i="9"/>
  <c r="C24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K21" i="9"/>
  <c r="J21" i="9"/>
  <c r="I21" i="9"/>
  <c r="H21" i="9"/>
  <c r="G21" i="9"/>
  <c r="F21" i="9"/>
  <c r="E21" i="9"/>
  <c r="D21" i="9"/>
  <c r="C21" i="9"/>
  <c r="B9" i="9"/>
  <c r="B11" i="9" s="1"/>
  <c r="R59" i="9" s="1"/>
  <c r="S59" i="9" s="1"/>
  <c r="C25" i="7"/>
  <c r="I58" i="15" l="1"/>
  <c r="H59" i="15" s="1"/>
  <c r="I64" i="15"/>
  <c r="H65" i="15" s="1"/>
  <c r="H60" i="15"/>
  <c r="G61" i="15" s="1"/>
  <c r="I62" i="15"/>
  <c r="H63" i="15" s="1"/>
  <c r="N48" i="15"/>
  <c r="M44" i="15"/>
  <c r="L45" i="15" s="1"/>
  <c r="K46" i="15" s="1"/>
  <c r="J47" i="15" s="1"/>
  <c r="E31" i="15"/>
  <c r="E30" i="15"/>
  <c r="G28" i="15" s="1"/>
  <c r="H27" i="15" s="1"/>
  <c r="I26" i="15" s="1"/>
  <c r="J25" i="15" s="1"/>
  <c r="K24" i="15" s="1"/>
  <c r="L23" i="15" s="1"/>
  <c r="M22" i="15" s="1"/>
  <c r="N21" i="15" s="1"/>
  <c r="O20" i="15" s="1"/>
  <c r="P19" i="15" s="1"/>
  <c r="Q18" i="15" s="1"/>
  <c r="R72" i="9"/>
  <c r="S72" i="9" s="1"/>
  <c r="R68" i="9"/>
  <c r="S68" i="9" s="1"/>
  <c r="R64" i="9"/>
  <c r="S64" i="9" s="1"/>
  <c r="R60" i="9"/>
  <c r="S60" i="9" s="1"/>
  <c r="T58" i="9" s="1"/>
  <c r="R71" i="9"/>
  <c r="S71" i="9" s="1"/>
  <c r="R67" i="9"/>
  <c r="S67" i="9" s="1"/>
  <c r="R63" i="9"/>
  <c r="S63" i="9" s="1"/>
  <c r="S62" i="10"/>
  <c r="S60" i="10"/>
  <c r="S66" i="10"/>
  <c r="S64" i="10"/>
  <c r="B11" i="10"/>
  <c r="S61" i="10" s="1"/>
  <c r="S72" i="10"/>
  <c r="S69" i="10"/>
  <c r="C31" i="10"/>
  <c r="S58" i="10"/>
  <c r="B51" i="10"/>
  <c r="C30" i="10"/>
  <c r="P70" i="9"/>
  <c r="P73" i="9"/>
  <c r="P69" i="9"/>
  <c r="Q79" i="9"/>
  <c r="P72" i="9"/>
  <c r="O72" i="9" s="1"/>
  <c r="P68" i="9"/>
  <c r="O68" i="9" s="1"/>
  <c r="P64" i="9"/>
  <c r="O64" i="9" s="1"/>
  <c r="N65" i="9" s="1"/>
  <c r="P60" i="9"/>
  <c r="O60" i="9" s="1"/>
  <c r="O71" i="9"/>
  <c r="O70" i="9"/>
  <c r="N71" i="9" s="1"/>
  <c r="O65" i="9"/>
  <c r="O61" i="9"/>
  <c r="P66" i="9"/>
  <c r="O67" i="9" s="1"/>
  <c r="P62" i="9"/>
  <c r="O63" i="9" s="1"/>
  <c r="D29" i="12"/>
  <c r="E28" i="12" s="1"/>
  <c r="F27" i="12" s="1"/>
  <c r="C30" i="14"/>
  <c r="D29" i="14" s="1"/>
  <c r="E28" i="14" s="1"/>
  <c r="F27" i="14" s="1"/>
  <c r="G26" i="14" s="1"/>
  <c r="H25" i="14" s="1"/>
  <c r="I24" i="14" s="1"/>
  <c r="J23" i="14" s="1"/>
  <c r="K22" i="14" s="1"/>
  <c r="L21" i="14" s="1"/>
  <c r="M20" i="14" s="1"/>
  <c r="N19" i="14" s="1"/>
  <c r="O18" i="14" s="1"/>
  <c r="P17" i="14" s="1"/>
  <c r="Q16" i="14" s="1"/>
  <c r="B9" i="14"/>
  <c r="F24" i="13"/>
  <c r="G19" i="13"/>
  <c r="L21" i="13"/>
  <c r="L37" i="13" s="1"/>
  <c r="I24" i="13"/>
  <c r="H23" i="13"/>
  <c r="D23" i="13"/>
  <c r="K21" i="13"/>
  <c r="G21" i="13"/>
  <c r="J19" i="13"/>
  <c r="L18" i="13"/>
  <c r="L34" i="13" s="1"/>
  <c r="L15" i="13"/>
  <c r="L31" i="13" s="1"/>
  <c r="L24" i="13"/>
  <c r="L40" i="13" s="1"/>
  <c r="K23" i="13"/>
  <c r="G23" i="13"/>
  <c r="E22" i="13"/>
  <c r="J21" i="13"/>
  <c r="F20" i="13"/>
  <c r="I19" i="13"/>
  <c r="L16" i="13"/>
  <c r="L32" i="13" s="1"/>
  <c r="K15" i="13"/>
  <c r="C24" i="13"/>
  <c r="J23" i="13"/>
  <c r="H22" i="13"/>
  <c r="D22" i="13"/>
  <c r="I20" i="13"/>
  <c r="L19" i="13"/>
  <c r="L35" i="13" s="1"/>
  <c r="K17" i="13"/>
  <c r="K16" i="13"/>
  <c r="B9" i="13"/>
  <c r="B10" i="13" s="1"/>
  <c r="I18" i="13"/>
  <c r="K22" i="13"/>
  <c r="H21" i="13"/>
  <c r="E23" i="13"/>
  <c r="J24" i="13"/>
  <c r="J17" i="13"/>
  <c r="H20" i="13"/>
  <c r="G22" i="13"/>
  <c r="B24" i="13"/>
  <c r="A49" i="13"/>
  <c r="G61" i="6"/>
  <c r="B11" i="12"/>
  <c r="D30" i="12"/>
  <c r="D31" i="12"/>
  <c r="C50" i="9"/>
  <c r="D50" i="9"/>
  <c r="E50" i="9"/>
  <c r="F50" i="9"/>
  <c r="G50" i="9"/>
  <c r="H50" i="9"/>
  <c r="I50" i="9"/>
  <c r="J50" i="9"/>
  <c r="K50" i="9"/>
  <c r="L50" i="9"/>
  <c r="B17" i="5"/>
  <c r="E14" i="5"/>
  <c r="B8" i="4"/>
  <c r="B9" i="4" s="1"/>
  <c r="B7" i="4"/>
  <c r="B7" i="5"/>
  <c r="B6" i="5"/>
  <c r="B8" i="7"/>
  <c r="B9" i="7" s="1"/>
  <c r="B26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6"/>
  <c r="B9" i="6" s="1"/>
  <c r="B8" i="5"/>
  <c r="D17" i="5" s="1"/>
  <c r="D16" i="5"/>
  <c r="G60" i="15" l="1"/>
  <c r="F61" i="15" s="1"/>
  <c r="H64" i="15"/>
  <c r="G65" i="15" s="1"/>
  <c r="G64" i="15"/>
  <c r="F65" i="15" s="1"/>
  <c r="H62" i="15"/>
  <c r="M49" i="15"/>
  <c r="L50" i="15" s="1"/>
  <c r="M48" i="15"/>
  <c r="F30" i="15"/>
  <c r="G29" i="15" s="1"/>
  <c r="H28" i="15" s="1"/>
  <c r="I27" i="15" s="1"/>
  <c r="J26" i="15" s="1"/>
  <c r="K25" i="15" s="1"/>
  <c r="L24" i="15" s="1"/>
  <c r="M23" i="15" s="1"/>
  <c r="N22" i="15" s="1"/>
  <c r="O21" i="15" s="1"/>
  <c r="P20" i="15" s="1"/>
  <c r="Q19" i="15" s="1"/>
  <c r="F31" i="15"/>
  <c r="N61" i="9"/>
  <c r="O73" i="9"/>
  <c r="N73" i="9" s="1"/>
  <c r="O69" i="9"/>
  <c r="F28" i="12"/>
  <c r="G28" i="12" s="1"/>
  <c r="D29" i="10"/>
  <c r="C50" i="10"/>
  <c r="D31" i="10"/>
  <c r="C51" i="10"/>
  <c r="D30" i="10"/>
  <c r="S59" i="10"/>
  <c r="S65" i="10"/>
  <c r="S63" i="10"/>
  <c r="S68" i="10"/>
  <c r="S70" i="10"/>
  <c r="S67" i="10"/>
  <c r="S73" i="10"/>
  <c r="S71" i="10"/>
  <c r="N64" i="9"/>
  <c r="M65" i="9" s="1"/>
  <c r="N70" i="9"/>
  <c r="M71" i="9" s="1"/>
  <c r="N72" i="9"/>
  <c r="M72" i="9" s="1"/>
  <c r="N68" i="9"/>
  <c r="O62" i="9"/>
  <c r="N63" i="9" s="1"/>
  <c r="M64" i="9" s="1"/>
  <c r="L65" i="9" s="1"/>
  <c r="N62" i="9"/>
  <c r="M63" i="9" s="1"/>
  <c r="L64" i="9" s="1"/>
  <c r="K65" i="9" s="1"/>
  <c r="M73" i="9"/>
  <c r="O66" i="9"/>
  <c r="N67" i="9" s="1"/>
  <c r="M68" i="9" s="1"/>
  <c r="N66" i="9"/>
  <c r="M67" i="9" s="1"/>
  <c r="L68" i="9" s="1"/>
  <c r="N69" i="9"/>
  <c r="M70" i="9" s="1"/>
  <c r="L71" i="9" s="1"/>
  <c r="E29" i="12"/>
  <c r="F29" i="12" s="1"/>
  <c r="Q36" i="14"/>
  <c r="Q56" i="14"/>
  <c r="B10" i="14"/>
  <c r="B11" i="14" s="1"/>
  <c r="E29" i="14"/>
  <c r="F29" i="14" s="1"/>
  <c r="G29" i="14" s="1"/>
  <c r="H29" i="14" s="1"/>
  <c r="I29" i="14" s="1"/>
  <c r="J29" i="14" s="1"/>
  <c r="K29" i="14" s="1"/>
  <c r="L29" i="14" s="1"/>
  <c r="M28" i="14" s="1"/>
  <c r="N27" i="14" s="1"/>
  <c r="O26" i="14" s="1"/>
  <c r="P25" i="14" s="1"/>
  <c r="Q24" i="14" s="1"/>
  <c r="D30" i="14"/>
  <c r="E30" i="14" s="1"/>
  <c r="F30" i="14" s="1"/>
  <c r="G30" i="14" s="1"/>
  <c r="H30" i="14" s="1"/>
  <c r="I30" i="14" s="1"/>
  <c r="J30" i="14" s="1"/>
  <c r="K30" i="14" s="1"/>
  <c r="L30" i="14" s="1"/>
  <c r="M29" i="14" s="1"/>
  <c r="N28" i="14" s="1"/>
  <c r="O27" i="14" s="1"/>
  <c r="P26" i="14" s="1"/>
  <c r="Q25" i="14" s="1"/>
  <c r="F28" i="14"/>
  <c r="G28" i="14" s="1"/>
  <c r="H28" i="14" s="1"/>
  <c r="I28" i="14" s="1"/>
  <c r="J28" i="14" s="1"/>
  <c r="K28" i="14" s="1"/>
  <c r="L28" i="14" s="1"/>
  <c r="M27" i="14" s="1"/>
  <c r="N26" i="14" s="1"/>
  <c r="O25" i="14" s="1"/>
  <c r="P24" i="14" s="1"/>
  <c r="Q23" i="14" s="1"/>
  <c r="H26" i="14"/>
  <c r="I26" i="14" s="1"/>
  <c r="J26" i="14" s="1"/>
  <c r="K26" i="14" s="1"/>
  <c r="L26" i="14" s="1"/>
  <c r="M25" i="14" s="1"/>
  <c r="N24" i="14" s="1"/>
  <c r="O23" i="14" s="1"/>
  <c r="P22" i="14" s="1"/>
  <c r="Q21" i="14" s="1"/>
  <c r="J24" i="14"/>
  <c r="K24" i="14" s="1"/>
  <c r="L24" i="14" s="1"/>
  <c r="M23" i="14" s="1"/>
  <c r="N22" i="14" s="1"/>
  <c r="O21" i="14" s="1"/>
  <c r="P20" i="14" s="1"/>
  <c r="Q19" i="14" s="1"/>
  <c r="L22" i="14"/>
  <c r="M21" i="14" s="1"/>
  <c r="N20" i="14" s="1"/>
  <c r="O19" i="14" s="1"/>
  <c r="P18" i="14" s="1"/>
  <c r="Q1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G27" i="14"/>
  <c r="H27" i="14" s="1"/>
  <c r="I27" i="14" s="1"/>
  <c r="J27" i="14" s="1"/>
  <c r="K27" i="14" s="1"/>
  <c r="L27" i="14" s="1"/>
  <c r="M26" i="14" s="1"/>
  <c r="N25" i="14" s="1"/>
  <c r="O24" i="14" s="1"/>
  <c r="P23" i="14" s="1"/>
  <c r="Q22" i="14" s="1"/>
  <c r="I25" i="14"/>
  <c r="J25" i="14" s="1"/>
  <c r="K25" i="14" s="1"/>
  <c r="L25" i="14" s="1"/>
  <c r="M24" i="14" s="1"/>
  <c r="N23" i="14" s="1"/>
  <c r="O22" i="14" s="1"/>
  <c r="P21" i="14" s="1"/>
  <c r="Q20" i="14" s="1"/>
  <c r="K23" i="14"/>
  <c r="L23" i="14" s="1"/>
  <c r="M22" i="14" s="1"/>
  <c r="N21" i="14" s="1"/>
  <c r="O20" i="14" s="1"/>
  <c r="P19" i="14" s="1"/>
  <c r="Q18" i="14" s="1"/>
  <c r="L56" i="13"/>
  <c r="A50" i="13"/>
  <c r="K40" i="13"/>
  <c r="K33" i="13"/>
  <c r="B11" i="13"/>
  <c r="K35" i="13"/>
  <c r="K36" i="13"/>
  <c r="J18" i="13"/>
  <c r="E21" i="13"/>
  <c r="L22" i="13"/>
  <c r="L38" i="13" s="1"/>
  <c r="K39" i="13" s="1"/>
  <c r="G24" i="13"/>
  <c r="L17" i="13"/>
  <c r="L33" i="13" s="1"/>
  <c r="J20" i="13"/>
  <c r="I22" i="13"/>
  <c r="D24" i="13"/>
  <c r="I17" i="13"/>
  <c r="G20" i="13"/>
  <c r="F22" i="13"/>
  <c r="L23" i="13"/>
  <c r="L39" i="13" s="1"/>
  <c r="K19" i="13"/>
  <c r="L20" i="13"/>
  <c r="L36" i="13" s="1"/>
  <c r="K37" i="13" s="1"/>
  <c r="L51" i="13"/>
  <c r="L50" i="13"/>
  <c r="L48" i="13"/>
  <c r="L47" i="13"/>
  <c r="L53" i="13"/>
  <c r="L14" i="13"/>
  <c r="L30" i="13" s="1"/>
  <c r="H19" i="13"/>
  <c r="I21" i="13"/>
  <c r="F23" i="13"/>
  <c r="K24" i="13"/>
  <c r="K18" i="13"/>
  <c r="F21" i="13"/>
  <c r="C23" i="13"/>
  <c r="H24" i="13"/>
  <c r="H18" i="13"/>
  <c r="K20" i="13"/>
  <c r="J22" i="13"/>
  <c r="E24" i="13"/>
  <c r="J16" i="13"/>
  <c r="I23" i="13"/>
  <c r="G27" i="12"/>
  <c r="E31" i="12"/>
  <c r="E30" i="12"/>
  <c r="G26" i="12"/>
  <c r="E51" i="9"/>
  <c r="D51" i="9"/>
  <c r="E49" i="9"/>
  <c r="D49" i="9"/>
  <c r="B10" i="4"/>
  <c r="L15" i="6"/>
  <c r="L31" i="6" s="1"/>
  <c r="L47" i="6" s="1"/>
  <c r="F24" i="6"/>
  <c r="I22" i="6"/>
  <c r="H20" i="6"/>
  <c r="J16" i="6"/>
  <c r="D23" i="6"/>
  <c r="K17" i="6"/>
  <c r="B24" i="6"/>
  <c r="E22" i="6"/>
  <c r="J19" i="6"/>
  <c r="E21" i="6"/>
  <c r="J24" i="6"/>
  <c r="K18" i="6"/>
  <c r="I21" i="6"/>
  <c r="H23" i="6"/>
  <c r="L14" i="6"/>
  <c r="L30" i="6" s="1"/>
  <c r="L24" i="6"/>
  <c r="L40" i="6" s="1"/>
  <c r="L56" i="6" s="1"/>
  <c r="E16" i="4"/>
  <c r="E25" i="4" s="1"/>
  <c r="E14" i="4"/>
  <c r="E23" i="4" s="1"/>
  <c r="B17" i="4"/>
  <c r="D15" i="4"/>
  <c r="C16" i="4"/>
  <c r="D17" i="4"/>
  <c r="E15" i="4"/>
  <c r="E24" i="4" s="1"/>
  <c r="E17" i="4"/>
  <c r="E26" i="4" s="1"/>
  <c r="C17" i="4"/>
  <c r="D16" i="4"/>
  <c r="E23" i="5"/>
  <c r="B9" i="5"/>
  <c r="C16" i="5"/>
  <c r="B10" i="5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B11" i="7" s="1"/>
  <c r="L23" i="6"/>
  <c r="L39" i="6" s="1"/>
  <c r="L55" i="6" s="1"/>
  <c r="B11" i="4"/>
  <c r="D15" i="5"/>
  <c r="C17" i="5"/>
  <c r="E16" i="5"/>
  <c r="E25" i="5" s="1"/>
  <c r="E17" i="5"/>
  <c r="E26" i="5" s="1"/>
  <c r="K16" i="6"/>
  <c r="H18" i="6"/>
  <c r="G19" i="6"/>
  <c r="K19" i="6"/>
  <c r="I20" i="6"/>
  <c r="F21" i="6"/>
  <c r="J21" i="6"/>
  <c r="F22" i="6"/>
  <c r="J22" i="6"/>
  <c r="E23" i="6"/>
  <c r="I23" i="6"/>
  <c r="C24" i="6"/>
  <c r="G24" i="6"/>
  <c r="K24" i="6"/>
  <c r="L16" i="6"/>
  <c r="L32" i="6" s="1"/>
  <c r="L48" i="6" s="1"/>
  <c r="L19" i="6"/>
  <c r="L35" i="6" s="1"/>
  <c r="L51" i="6" s="1"/>
  <c r="B10" i="6"/>
  <c r="I17" i="6"/>
  <c r="I18" i="6"/>
  <c r="H19" i="6"/>
  <c r="F20" i="6"/>
  <c r="J20" i="6"/>
  <c r="G21" i="6"/>
  <c r="K21" i="6"/>
  <c r="G22" i="6"/>
  <c r="K22" i="6"/>
  <c r="F23" i="6"/>
  <c r="J23" i="6"/>
  <c r="D24" i="6"/>
  <c r="H24" i="6"/>
  <c r="L17" i="6"/>
  <c r="L33" i="6" s="1"/>
  <c r="L49" i="6" s="1"/>
  <c r="L18" i="6"/>
  <c r="L34" i="6" s="1"/>
  <c r="L50" i="6" s="1"/>
  <c r="L21" i="6"/>
  <c r="L37" i="6" s="1"/>
  <c r="L53" i="6" s="1"/>
  <c r="L22" i="6"/>
  <c r="L38" i="6" s="1"/>
  <c r="L54" i="6" s="1"/>
  <c r="E15" i="5"/>
  <c r="K15" i="6"/>
  <c r="J17" i="6"/>
  <c r="J18" i="6"/>
  <c r="I19" i="6"/>
  <c r="G20" i="6"/>
  <c r="K20" i="6"/>
  <c r="H21" i="6"/>
  <c r="D22" i="6"/>
  <c r="H22" i="6"/>
  <c r="C23" i="6"/>
  <c r="G23" i="6"/>
  <c r="K23" i="6"/>
  <c r="E24" i="6"/>
  <c r="I24" i="6"/>
  <c r="L20" i="6"/>
  <c r="L36" i="6" s="1"/>
  <c r="L52" i="6" s="1"/>
  <c r="D25" i="7"/>
  <c r="E25" i="7" s="1"/>
  <c r="F25" i="7" s="1"/>
  <c r="G25" i="7" s="1"/>
  <c r="H25" i="7" s="1"/>
  <c r="I25" i="7" s="1"/>
  <c r="J25" i="7" s="1"/>
  <c r="K25" i="7" s="1"/>
  <c r="L25" i="7" s="1"/>
  <c r="L40" i="7" s="1"/>
  <c r="G63" i="15" l="1"/>
  <c r="F64" i="15" s="1"/>
  <c r="E65" i="15" s="1"/>
  <c r="G62" i="15"/>
  <c r="L49" i="15"/>
  <c r="K50" i="15" s="1"/>
  <c r="L48" i="15"/>
  <c r="G31" i="15"/>
  <c r="G30" i="15"/>
  <c r="H29" i="15" s="1"/>
  <c r="I28" i="15" s="1"/>
  <c r="K26" i="15" s="1"/>
  <c r="L25" i="15" s="1"/>
  <c r="M24" i="15" s="1"/>
  <c r="N23" i="15" s="1"/>
  <c r="O22" i="15" s="1"/>
  <c r="P21" i="15" s="1"/>
  <c r="Q20" i="15" s="1"/>
  <c r="Q39" i="15" s="1"/>
  <c r="E31" i="10"/>
  <c r="E30" i="10"/>
  <c r="D51" i="10"/>
  <c r="E29" i="10"/>
  <c r="D50" i="10"/>
  <c r="E28" i="10"/>
  <c r="D49" i="10"/>
  <c r="L72" i="9"/>
  <c r="L93" i="9" s="1"/>
  <c r="L73" i="9"/>
  <c r="M62" i="9"/>
  <c r="L63" i="9" s="1"/>
  <c r="K64" i="9" s="1"/>
  <c r="J65" i="9" s="1"/>
  <c r="M69" i="9"/>
  <c r="L70" i="9" s="1"/>
  <c r="K71" i="9" s="1"/>
  <c r="M66" i="9"/>
  <c r="M49" i="9"/>
  <c r="M92" i="9" s="1"/>
  <c r="Q40" i="14"/>
  <c r="Q60" i="14"/>
  <c r="Q39" i="14"/>
  <c r="Q59" i="14"/>
  <c r="Q44" i="14"/>
  <c r="Q64" i="14"/>
  <c r="Q42" i="14"/>
  <c r="Q62" i="14"/>
  <c r="Q41" i="14"/>
  <c r="Q61" i="14"/>
  <c r="Q43" i="14"/>
  <c r="Q63" i="14"/>
  <c r="Q38" i="14"/>
  <c r="Q58" i="14"/>
  <c r="Q37" i="14"/>
  <c r="Q57" i="14"/>
  <c r="P57" i="14" s="1"/>
  <c r="Q45" i="14"/>
  <c r="Q65" i="14"/>
  <c r="M31" i="14"/>
  <c r="M30" i="14"/>
  <c r="N29" i="14" s="1"/>
  <c r="O28" i="14" s="1"/>
  <c r="P27" i="14" s="1"/>
  <c r="Q26" i="14" s="1"/>
  <c r="J40" i="13"/>
  <c r="J38" i="13"/>
  <c r="K38" i="13"/>
  <c r="A51" i="13"/>
  <c r="J48" i="13"/>
  <c r="L49" i="13"/>
  <c r="J51" i="13" s="1"/>
  <c r="J37" i="13"/>
  <c r="K34" i="13"/>
  <c r="J34" i="13" s="1"/>
  <c r="L54" i="13"/>
  <c r="L52" i="13"/>
  <c r="L55" i="13"/>
  <c r="J36" i="13"/>
  <c r="K32" i="13"/>
  <c r="H27" i="12"/>
  <c r="F31" i="12"/>
  <c r="G31" i="12" s="1"/>
  <c r="H26" i="12"/>
  <c r="H25" i="12"/>
  <c r="H28" i="12"/>
  <c r="F30" i="12"/>
  <c r="G29" i="12"/>
  <c r="F51" i="9"/>
  <c r="G49" i="9"/>
  <c r="G48" i="9"/>
  <c r="E48" i="9"/>
  <c r="F47" i="9"/>
  <c r="D24" i="4"/>
  <c r="D25" i="4"/>
  <c r="D26" i="4"/>
  <c r="C26" i="5"/>
  <c r="D24" i="5"/>
  <c r="K41" i="7"/>
  <c r="D24" i="7"/>
  <c r="E23" i="7" s="1"/>
  <c r="B11" i="6"/>
  <c r="K37" i="6"/>
  <c r="F63" i="15" l="1"/>
  <c r="E64" i="15" s="1"/>
  <c r="D65" i="15" s="1"/>
  <c r="F62" i="15"/>
  <c r="P39" i="15"/>
  <c r="P40" i="15"/>
  <c r="O41" i="15" s="1"/>
  <c r="N42" i="15" s="1"/>
  <c r="M43" i="15" s="1"/>
  <c r="L44" i="15" s="1"/>
  <c r="K45" i="15" s="1"/>
  <c r="J46" i="15" s="1"/>
  <c r="I47" i="15" s="1"/>
  <c r="K49" i="15"/>
  <c r="J50" i="15" s="1"/>
  <c r="K48" i="15"/>
  <c r="H31" i="15"/>
  <c r="H30" i="15"/>
  <c r="I29" i="15" s="1"/>
  <c r="J28" i="15" s="1"/>
  <c r="K27" i="15" s="1"/>
  <c r="L26" i="15" s="1"/>
  <c r="M25" i="15" s="1"/>
  <c r="N24" i="15" s="1"/>
  <c r="O23" i="15" s="1"/>
  <c r="P22" i="15" s="1"/>
  <c r="Q21" i="15" s="1"/>
  <c r="K73" i="9"/>
  <c r="P41" i="14"/>
  <c r="F31" i="10"/>
  <c r="F30" i="10"/>
  <c r="E51" i="10"/>
  <c r="F28" i="10"/>
  <c r="E49" i="10"/>
  <c r="F27" i="10"/>
  <c r="E48" i="10"/>
  <c r="F29" i="10"/>
  <c r="E50" i="10"/>
  <c r="K72" i="9"/>
  <c r="L67" i="9"/>
  <c r="K68" i="9" s="1"/>
  <c r="L66" i="9"/>
  <c r="L69" i="9"/>
  <c r="N48" i="9"/>
  <c r="N91" i="9" s="1"/>
  <c r="P45" i="14"/>
  <c r="P38" i="14"/>
  <c r="P44" i="14"/>
  <c r="P42" i="14"/>
  <c r="P62" i="14"/>
  <c r="P39" i="14"/>
  <c r="O39" i="14" s="1"/>
  <c r="P43" i="14"/>
  <c r="P60" i="14"/>
  <c r="P65" i="14"/>
  <c r="P37" i="14"/>
  <c r="O38" i="14" s="1"/>
  <c r="P40" i="14"/>
  <c r="P64" i="14"/>
  <c r="P63" i="14"/>
  <c r="P59" i="14"/>
  <c r="Q46" i="14"/>
  <c r="P46" i="14" s="1"/>
  <c r="Q66" i="14"/>
  <c r="P61" i="14"/>
  <c r="P58" i="14"/>
  <c r="N31" i="14"/>
  <c r="N30" i="14"/>
  <c r="O29" i="14" s="1"/>
  <c r="P28" i="14" s="1"/>
  <c r="Q27" i="14" s="1"/>
  <c r="J33" i="13"/>
  <c r="A52" i="13"/>
  <c r="I37" i="13"/>
  <c r="J56" i="13"/>
  <c r="I38" i="13"/>
  <c r="J50" i="13"/>
  <c r="J32" i="13"/>
  <c r="J65" i="13" s="1"/>
  <c r="J35" i="13"/>
  <c r="J39" i="13"/>
  <c r="J53" i="13"/>
  <c r="J55" i="13"/>
  <c r="I27" i="12"/>
  <c r="H29" i="12"/>
  <c r="I28" i="12"/>
  <c r="H31" i="12"/>
  <c r="I24" i="12"/>
  <c r="I25" i="12"/>
  <c r="I26" i="12"/>
  <c r="G30" i="12"/>
  <c r="H51" i="9"/>
  <c r="F49" i="9"/>
  <c r="F48" i="9"/>
  <c r="H48" i="9"/>
  <c r="G46" i="9"/>
  <c r="C25" i="4"/>
  <c r="C25" i="5"/>
  <c r="B26" i="5" s="1"/>
  <c r="C26" i="4"/>
  <c r="B26" i="4" s="1"/>
  <c r="K33" i="6"/>
  <c r="K53" i="6"/>
  <c r="K38" i="6"/>
  <c r="J38" i="6" s="1"/>
  <c r="K56" i="6"/>
  <c r="K54" i="6"/>
  <c r="K34" i="6"/>
  <c r="K51" i="6"/>
  <c r="K40" i="6"/>
  <c r="K32" i="6"/>
  <c r="J32" i="6" s="1"/>
  <c r="W48" i="6" s="1"/>
  <c r="K35" i="6"/>
  <c r="K48" i="6"/>
  <c r="J49" i="6" s="1"/>
  <c r="K36" i="6"/>
  <c r="J37" i="6" s="1"/>
  <c r="K55" i="6"/>
  <c r="K49" i="6"/>
  <c r="J34" i="6"/>
  <c r="E24" i="7"/>
  <c r="F24" i="7" s="1"/>
  <c r="G24" i="7" s="1"/>
  <c r="H24" i="7" s="1"/>
  <c r="I24" i="7" s="1"/>
  <c r="J24" i="7" s="1"/>
  <c r="K24" i="7" s="1"/>
  <c r="L24" i="7" s="1"/>
  <c r="L39" i="7" s="1"/>
  <c r="K40" i="7" s="1"/>
  <c r="J41" i="7" s="1"/>
  <c r="K39" i="6"/>
  <c r="K52" i="6"/>
  <c r="J33" i="6"/>
  <c r="I34" i="6" s="1"/>
  <c r="K50" i="6"/>
  <c r="F22" i="7"/>
  <c r="F23" i="7"/>
  <c r="G23" i="7" s="1"/>
  <c r="H23" i="7" s="1"/>
  <c r="I23" i="7" s="1"/>
  <c r="J23" i="7" s="1"/>
  <c r="K23" i="7" s="1"/>
  <c r="L23" i="7" s="1"/>
  <c r="L38" i="7" s="1"/>
  <c r="E63" i="15" l="1"/>
  <c r="D64" i="15" s="1"/>
  <c r="C65" i="15" s="1"/>
  <c r="E62" i="15"/>
  <c r="O40" i="15"/>
  <c r="N41" i="15" s="1"/>
  <c r="M42" i="15" s="1"/>
  <c r="L43" i="15" s="1"/>
  <c r="K44" i="15" s="1"/>
  <c r="J45" i="15" s="1"/>
  <c r="I46" i="15" s="1"/>
  <c r="H47" i="15" s="1"/>
  <c r="O39" i="15"/>
  <c r="J49" i="15"/>
  <c r="I50" i="15" s="1"/>
  <c r="J48" i="15"/>
  <c r="I31" i="15"/>
  <c r="I30" i="15"/>
  <c r="J29" i="15" s="1"/>
  <c r="K28" i="15" s="1"/>
  <c r="L27" i="15" s="1"/>
  <c r="M26" i="15" s="1"/>
  <c r="N25" i="15" s="1"/>
  <c r="O24" i="15" s="1"/>
  <c r="P23" i="15" s="1"/>
  <c r="Q22" i="15" s="1"/>
  <c r="O63" i="14"/>
  <c r="O42" i="14"/>
  <c r="G28" i="10"/>
  <c r="F49" i="10"/>
  <c r="G29" i="10"/>
  <c r="F50" i="10"/>
  <c r="G31" i="10"/>
  <c r="G30" i="10"/>
  <c r="F51" i="10"/>
  <c r="G26" i="10"/>
  <c r="F47" i="10"/>
  <c r="G27" i="10"/>
  <c r="F48" i="10"/>
  <c r="K93" i="9"/>
  <c r="J73" i="9"/>
  <c r="J72" i="9"/>
  <c r="K70" i="9"/>
  <c r="J71" i="9" s="1"/>
  <c r="K69" i="9"/>
  <c r="J70" i="9" s="1"/>
  <c r="I71" i="9" s="1"/>
  <c r="K67" i="9"/>
  <c r="J68" i="9" s="1"/>
  <c r="K66" i="9"/>
  <c r="O47" i="9"/>
  <c r="O90" i="9" s="1"/>
  <c r="O46" i="14"/>
  <c r="O45" i="14"/>
  <c r="O43" i="14"/>
  <c r="O44" i="14"/>
  <c r="O40" i="14"/>
  <c r="N40" i="14" s="1"/>
  <c r="O60" i="14"/>
  <c r="O41" i="14"/>
  <c r="O61" i="14"/>
  <c r="O59" i="14"/>
  <c r="O64" i="14"/>
  <c r="O65" i="14"/>
  <c r="Q47" i="14"/>
  <c r="P47" i="14" s="1"/>
  <c r="Q67" i="14"/>
  <c r="P67" i="14" s="1"/>
  <c r="N39" i="14"/>
  <c r="O62" i="14"/>
  <c r="O58" i="14"/>
  <c r="P66" i="14"/>
  <c r="O31" i="14"/>
  <c r="O30" i="14"/>
  <c r="P29" i="14" s="1"/>
  <c r="Q28" i="14" s="1"/>
  <c r="I51" i="13"/>
  <c r="I56" i="13"/>
  <c r="I40" i="13"/>
  <c r="I36" i="13"/>
  <c r="J49" i="13"/>
  <c r="I34" i="13"/>
  <c r="I39" i="13"/>
  <c r="I33" i="13"/>
  <c r="I66" i="13" s="1"/>
  <c r="H38" i="13"/>
  <c r="A53" i="13"/>
  <c r="I35" i="13"/>
  <c r="J52" i="13"/>
  <c r="J54" i="13"/>
  <c r="H39" i="13"/>
  <c r="J27" i="12"/>
  <c r="I31" i="12"/>
  <c r="H30" i="12"/>
  <c r="J25" i="12"/>
  <c r="J28" i="12"/>
  <c r="J24" i="12"/>
  <c r="J23" i="12"/>
  <c r="I29" i="12"/>
  <c r="J26" i="12"/>
  <c r="G51" i="9"/>
  <c r="H49" i="9"/>
  <c r="H46" i="9"/>
  <c r="I49" i="9"/>
  <c r="I92" i="9" s="1"/>
  <c r="I44" i="9"/>
  <c r="H47" i="9"/>
  <c r="G47" i="9"/>
  <c r="J53" i="6"/>
  <c r="J48" i="6"/>
  <c r="I38" i="6"/>
  <c r="J55" i="6"/>
  <c r="J36" i="6"/>
  <c r="I37" i="6" s="1"/>
  <c r="H38" i="6" s="1"/>
  <c r="J51" i="6"/>
  <c r="J54" i="6"/>
  <c r="J56" i="6"/>
  <c r="I56" i="6" s="1"/>
  <c r="J35" i="6"/>
  <c r="I35" i="6" s="1"/>
  <c r="I49" i="6"/>
  <c r="K39" i="7"/>
  <c r="J40" i="7" s="1"/>
  <c r="I41" i="7" s="1"/>
  <c r="J40" i="6"/>
  <c r="J39" i="6"/>
  <c r="I33" i="6"/>
  <c r="J50" i="6"/>
  <c r="I51" i="6" s="1"/>
  <c r="J52" i="6"/>
  <c r="I53" i="6" s="1"/>
  <c r="G21" i="7"/>
  <c r="G22" i="7"/>
  <c r="H22" i="7" s="1"/>
  <c r="I22" i="7" s="1"/>
  <c r="J22" i="7" s="1"/>
  <c r="K22" i="7" s="1"/>
  <c r="L22" i="7" s="1"/>
  <c r="L37" i="7" s="1"/>
  <c r="K38" i="7" s="1"/>
  <c r="D63" i="15" l="1"/>
  <c r="C64" i="15" s="1"/>
  <c r="N40" i="15"/>
  <c r="M41" i="15" s="1"/>
  <c r="L42" i="15" s="1"/>
  <c r="K43" i="15" s="1"/>
  <c r="J44" i="15" s="1"/>
  <c r="I45" i="15" s="1"/>
  <c r="H46" i="15" s="1"/>
  <c r="G47" i="15" s="1"/>
  <c r="N39" i="15"/>
  <c r="I49" i="15"/>
  <c r="H50" i="15" s="1"/>
  <c r="I48" i="15"/>
  <c r="H34" i="6"/>
  <c r="U50" i="6" s="1"/>
  <c r="V49" i="6"/>
  <c r="J31" i="15"/>
  <c r="J30" i="15"/>
  <c r="K29" i="15" s="1"/>
  <c r="L28" i="15" s="1"/>
  <c r="M27" i="15" s="1"/>
  <c r="N26" i="15" s="1"/>
  <c r="O25" i="15" s="1"/>
  <c r="P24" i="15" s="1"/>
  <c r="Q23" i="15" s="1"/>
  <c r="N64" i="14"/>
  <c r="N63" i="14"/>
  <c r="N42" i="14"/>
  <c r="N43" i="14"/>
  <c r="H25" i="10"/>
  <c r="G46" i="10"/>
  <c r="H30" i="10"/>
  <c r="H31" i="10"/>
  <c r="G51" i="10"/>
  <c r="H29" i="10"/>
  <c r="G50" i="10"/>
  <c r="H28" i="10"/>
  <c r="G49" i="10"/>
  <c r="H26" i="10"/>
  <c r="G47" i="10"/>
  <c r="H27" i="10"/>
  <c r="G48" i="10"/>
  <c r="I73" i="9"/>
  <c r="J93" i="9"/>
  <c r="J69" i="9"/>
  <c r="I70" i="9" s="1"/>
  <c r="H71" i="9" s="1"/>
  <c r="H92" i="9" s="1"/>
  <c r="I72" i="9"/>
  <c r="H72" i="9" s="1"/>
  <c r="J67" i="9"/>
  <c r="I68" i="9" s="1"/>
  <c r="J66" i="9"/>
  <c r="I69" i="9"/>
  <c r="H70" i="9" s="1"/>
  <c r="H73" i="9"/>
  <c r="H94" i="9" s="1"/>
  <c r="N46" i="14"/>
  <c r="Q45" i="9"/>
  <c r="Q88" i="9" s="1"/>
  <c r="P46" i="9"/>
  <c r="P89" i="9" s="1"/>
  <c r="N45" i="14"/>
  <c r="N44" i="14"/>
  <c r="N61" i="14"/>
  <c r="N41" i="14"/>
  <c r="N60" i="14"/>
  <c r="N59" i="14"/>
  <c r="N65" i="14"/>
  <c r="M40" i="14"/>
  <c r="Q48" i="14"/>
  <c r="P48" i="14" s="1"/>
  <c r="Q68" i="14"/>
  <c r="P68" i="14" s="1"/>
  <c r="O68" i="14" s="1"/>
  <c r="N62" i="14"/>
  <c r="O67" i="14"/>
  <c r="O66" i="14"/>
  <c r="O47" i="14"/>
  <c r="P31" i="14"/>
  <c r="P30" i="14"/>
  <c r="Q29" i="14" s="1"/>
  <c r="I55" i="13"/>
  <c r="H34" i="13"/>
  <c r="H67" i="13" s="1"/>
  <c r="H37" i="13"/>
  <c r="I53" i="13"/>
  <c r="I52" i="13"/>
  <c r="G39" i="13"/>
  <c r="I54" i="13"/>
  <c r="I50" i="13"/>
  <c r="I49" i="13"/>
  <c r="A54" i="13"/>
  <c r="H35" i="13"/>
  <c r="H36" i="13"/>
  <c r="H40" i="13"/>
  <c r="K27" i="12"/>
  <c r="K28" i="12"/>
  <c r="I30" i="12"/>
  <c r="J29" i="12"/>
  <c r="K22" i="12"/>
  <c r="K23" i="12"/>
  <c r="K24" i="12"/>
  <c r="K25" i="12"/>
  <c r="J31" i="12"/>
  <c r="K26" i="12"/>
  <c r="J51" i="9"/>
  <c r="J94" i="9" s="1"/>
  <c r="I51" i="9"/>
  <c r="P42" i="9"/>
  <c r="P85" i="9" s="1"/>
  <c r="I48" i="9"/>
  <c r="I91" i="9" s="1"/>
  <c r="I45" i="9"/>
  <c r="H45" i="9"/>
  <c r="J49" i="9"/>
  <c r="J92" i="9" s="1"/>
  <c r="J47" i="9"/>
  <c r="J90" i="9" s="1"/>
  <c r="J48" i="9"/>
  <c r="J91" i="9" s="1"/>
  <c r="K51" i="9"/>
  <c r="K94" i="9" s="1"/>
  <c r="J43" i="9"/>
  <c r="J86" i="9" s="1"/>
  <c r="I55" i="6"/>
  <c r="H56" i="6"/>
  <c r="I54" i="6"/>
  <c r="H55" i="6" s="1"/>
  <c r="G56" i="6" s="1"/>
  <c r="I36" i="6"/>
  <c r="H37" i="6" s="1"/>
  <c r="G38" i="6" s="1"/>
  <c r="H35" i="6"/>
  <c r="J39" i="7"/>
  <c r="I40" i="7" s="1"/>
  <c r="H41" i="7" s="1"/>
  <c r="I52" i="6"/>
  <c r="H53" i="6" s="1"/>
  <c r="I40" i="6"/>
  <c r="I39" i="6"/>
  <c r="I50" i="6"/>
  <c r="H20" i="7"/>
  <c r="H21" i="7"/>
  <c r="I21" i="7" s="1"/>
  <c r="J21" i="7" s="1"/>
  <c r="K21" i="7" s="1"/>
  <c r="L21" i="7" s="1"/>
  <c r="L36" i="7" s="1"/>
  <c r="K37" i="7" s="1"/>
  <c r="J38" i="7" s="1"/>
  <c r="M40" i="15" l="1"/>
  <c r="L41" i="15" s="1"/>
  <c r="K42" i="15" s="1"/>
  <c r="J43" i="15" s="1"/>
  <c r="I44" i="15" s="1"/>
  <c r="H45" i="15" s="1"/>
  <c r="G46" i="15" s="1"/>
  <c r="F47" i="15" s="1"/>
  <c r="M39" i="15"/>
  <c r="H49" i="15"/>
  <c r="G50" i="15" s="1"/>
  <c r="H48" i="15"/>
  <c r="K31" i="15"/>
  <c r="K30" i="15"/>
  <c r="L29" i="15" s="1"/>
  <c r="M28" i="15" s="1"/>
  <c r="N27" i="15" s="1"/>
  <c r="O26" i="15" s="1"/>
  <c r="P25" i="15" s="1"/>
  <c r="Q24" i="15" s="1"/>
  <c r="M64" i="14"/>
  <c r="M65" i="14"/>
  <c r="M63" i="14"/>
  <c r="M42" i="14"/>
  <c r="M43" i="14"/>
  <c r="M44" i="14"/>
  <c r="I26" i="10"/>
  <c r="H47" i="10"/>
  <c r="I27" i="10"/>
  <c r="H48" i="10"/>
  <c r="I24" i="10"/>
  <c r="H45" i="10"/>
  <c r="H50" i="10"/>
  <c r="I29" i="10"/>
  <c r="I25" i="10"/>
  <c r="H46" i="10"/>
  <c r="H49" i="10"/>
  <c r="I28" i="10"/>
  <c r="I31" i="10"/>
  <c r="H51" i="10"/>
  <c r="I30" i="10"/>
  <c r="H93" i="9"/>
  <c r="G73" i="9"/>
  <c r="G94" i="9" s="1"/>
  <c r="I94" i="9"/>
  <c r="G72" i="9"/>
  <c r="G93" i="9" s="1"/>
  <c r="I93" i="9"/>
  <c r="H69" i="9"/>
  <c r="G71" i="9"/>
  <c r="H91" i="9"/>
  <c r="I67" i="9"/>
  <c r="H68" i="9" s="1"/>
  <c r="I66" i="9"/>
  <c r="M46" i="14"/>
  <c r="M45" i="14"/>
  <c r="M41" i="14"/>
  <c r="M61" i="14"/>
  <c r="M60" i="14"/>
  <c r="Q49" i="14"/>
  <c r="P49" i="14" s="1"/>
  <c r="Q69" i="14"/>
  <c r="P69" i="14" s="1"/>
  <c r="M62" i="14"/>
  <c r="N67" i="14"/>
  <c r="N66" i="14"/>
  <c r="N68" i="14"/>
  <c r="N47" i="14"/>
  <c r="O48" i="14"/>
  <c r="Q31" i="14"/>
  <c r="Q30" i="14"/>
  <c r="H51" i="13"/>
  <c r="H55" i="13"/>
  <c r="H56" i="13"/>
  <c r="H50" i="13"/>
  <c r="G38" i="13"/>
  <c r="H53" i="13"/>
  <c r="H52" i="13"/>
  <c r="G35" i="13"/>
  <c r="G68" i="13" s="1"/>
  <c r="G36" i="13"/>
  <c r="G40" i="13"/>
  <c r="G37" i="13"/>
  <c r="A55" i="13"/>
  <c r="H54" i="13"/>
  <c r="L27" i="12"/>
  <c r="L26" i="12"/>
  <c r="L23" i="12"/>
  <c r="L22" i="12"/>
  <c r="L21" i="12"/>
  <c r="J30" i="12"/>
  <c r="K31" i="12"/>
  <c r="L24" i="12"/>
  <c r="L25" i="12"/>
  <c r="K29" i="12"/>
  <c r="L28" i="12"/>
  <c r="J45" i="9"/>
  <c r="J88" i="9" s="1"/>
  <c r="K46" i="9"/>
  <c r="K89" i="9" s="1"/>
  <c r="Q41" i="9"/>
  <c r="Q84" i="9" s="1"/>
  <c r="K47" i="9"/>
  <c r="K90" i="9" s="1"/>
  <c r="J44" i="9"/>
  <c r="J87" i="9" s="1"/>
  <c r="J46" i="9"/>
  <c r="J89" i="9" s="1"/>
  <c r="M45" i="9"/>
  <c r="M88" i="9" s="1"/>
  <c r="O43" i="9"/>
  <c r="O86" i="9" s="1"/>
  <c r="N44" i="9"/>
  <c r="N87" i="9" s="1"/>
  <c r="L46" i="9"/>
  <c r="L89" i="9" s="1"/>
  <c r="I46" i="9"/>
  <c r="I89" i="9" s="1"/>
  <c r="I47" i="9"/>
  <c r="I90" i="9" s="1"/>
  <c r="K49" i="9"/>
  <c r="K92" i="9" s="1"/>
  <c r="K48" i="9"/>
  <c r="K91" i="9" s="1"/>
  <c r="L51" i="9"/>
  <c r="L94" i="9" s="1"/>
  <c r="K42" i="9"/>
  <c r="K85" i="9" s="1"/>
  <c r="L43" i="9"/>
  <c r="L86" i="9" s="1"/>
  <c r="L44" i="9"/>
  <c r="L87" i="9" s="1"/>
  <c r="N42" i="9"/>
  <c r="N85" i="9" s="1"/>
  <c r="K44" i="9"/>
  <c r="K87" i="9" s="1"/>
  <c r="I39" i="7"/>
  <c r="H40" i="7" s="1"/>
  <c r="G41" i="7" s="1"/>
  <c r="H36" i="6"/>
  <c r="G37" i="6" s="1"/>
  <c r="H54" i="6"/>
  <c r="G55" i="6" s="1"/>
  <c r="F56" i="6" s="1"/>
  <c r="H52" i="6"/>
  <c r="G53" i="6" s="1"/>
  <c r="G36" i="6"/>
  <c r="G35" i="6"/>
  <c r="T51" i="6" s="1"/>
  <c r="G54" i="6"/>
  <c r="F55" i="6" s="1"/>
  <c r="E56" i="6" s="1"/>
  <c r="F54" i="6"/>
  <c r="E55" i="6" s="1"/>
  <c r="H51" i="6"/>
  <c r="H50" i="6"/>
  <c r="H40" i="6"/>
  <c r="H39" i="6"/>
  <c r="I19" i="7"/>
  <c r="I20" i="7"/>
  <c r="J20" i="7" s="1"/>
  <c r="K20" i="7" s="1"/>
  <c r="L20" i="7" s="1"/>
  <c r="L35" i="7" s="1"/>
  <c r="K36" i="7" s="1"/>
  <c r="J37" i="7" s="1"/>
  <c r="I38" i="7" s="1"/>
  <c r="L40" i="15" l="1"/>
  <c r="K41" i="15" s="1"/>
  <c r="J42" i="15" s="1"/>
  <c r="I43" i="15" s="1"/>
  <c r="H44" i="15" s="1"/>
  <c r="G45" i="15" s="1"/>
  <c r="F46" i="15" s="1"/>
  <c r="E47" i="15" s="1"/>
  <c r="G49" i="15"/>
  <c r="F50" i="15" s="1"/>
  <c r="G48" i="15"/>
  <c r="L31" i="15"/>
  <c r="L30" i="15"/>
  <c r="M29" i="15" s="1"/>
  <c r="N28" i="15" s="1"/>
  <c r="O27" i="15" s="1"/>
  <c r="P26" i="15" s="1"/>
  <c r="Q25" i="15" s="1"/>
  <c r="L45" i="14"/>
  <c r="L65" i="14"/>
  <c r="L64" i="14"/>
  <c r="L42" i="14"/>
  <c r="L63" i="14"/>
  <c r="L44" i="14"/>
  <c r="L43" i="14"/>
  <c r="J31" i="10"/>
  <c r="J30" i="10"/>
  <c r="I51" i="10"/>
  <c r="J24" i="10"/>
  <c r="I45" i="10"/>
  <c r="J23" i="10"/>
  <c r="I44" i="10"/>
  <c r="J25" i="10"/>
  <c r="I46" i="10"/>
  <c r="I48" i="10"/>
  <c r="J27" i="10"/>
  <c r="J28" i="10"/>
  <c r="I49" i="10"/>
  <c r="I50" i="10"/>
  <c r="J29" i="10"/>
  <c r="J26" i="10"/>
  <c r="I47" i="10"/>
  <c r="G70" i="9"/>
  <c r="G91" i="9" s="1"/>
  <c r="H90" i="9"/>
  <c r="F73" i="9"/>
  <c r="F94" i="9" s="1"/>
  <c r="F72" i="9"/>
  <c r="G92" i="9"/>
  <c r="G69" i="9"/>
  <c r="H89" i="9"/>
  <c r="I88" i="9"/>
  <c r="H67" i="9"/>
  <c r="I87" i="9"/>
  <c r="L46" i="14"/>
  <c r="L41" i="14"/>
  <c r="L61" i="14"/>
  <c r="L62" i="14"/>
  <c r="Q50" i="14"/>
  <c r="P50" i="14" s="1"/>
  <c r="Q70" i="14"/>
  <c r="P70" i="14" s="1"/>
  <c r="Q51" i="14"/>
  <c r="Q71" i="14"/>
  <c r="O69" i="14"/>
  <c r="M67" i="14"/>
  <c r="M66" i="14"/>
  <c r="M68" i="14"/>
  <c r="M47" i="14"/>
  <c r="N48" i="14"/>
  <c r="O49" i="14"/>
  <c r="G53" i="13"/>
  <c r="G56" i="13"/>
  <c r="G55" i="13"/>
  <c r="G51" i="13"/>
  <c r="F37" i="13"/>
  <c r="F54" i="13"/>
  <c r="G54" i="13"/>
  <c r="A56" i="13"/>
  <c r="F40" i="13"/>
  <c r="F36" i="13"/>
  <c r="F69" i="13" s="1"/>
  <c r="G52" i="13"/>
  <c r="F39" i="13"/>
  <c r="F38" i="13"/>
  <c r="M26" i="12"/>
  <c r="L29" i="12"/>
  <c r="M23" i="12"/>
  <c r="M20" i="12"/>
  <c r="M22" i="12"/>
  <c r="M21" i="12"/>
  <c r="M25" i="12"/>
  <c r="M27" i="12"/>
  <c r="M24" i="12"/>
  <c r="L31" i="12"/>
  <c r="K30" i="12"/>
  <c r="L49" i="9"/>
  <c r="L92" i="9" s="1"/>
  <c r="K43" i="9"/>
  <c r="K86" i="9" s="1"/>
  <c r="M51" i="9"/>
  <c r="M94" i="9" s="1"/>
  <c r="M50" i="9"/>
  <c r="M93" i="9" s="1"/>
  <c r="L48" i="9"/>
  <c r="L91" i="9" s="1"/>
  <c r="L41" i="9"/>
  <c r="L84" i="9" s="1"/>
  <c r="L42" i="9"/>
  <c r="L85" i="9" s="1"/>
  <c r="P40" i="9"/>
  <c r="P83" i="9" s="1"/>
  <c r="M43" i="9"/>
  <c r="M86" i="9" s="1"/>
  <c r="P39" i="9"/>
  <c r="P82" i="9" s="1"/>
  <c r="H39" i="7"/>
  <c r="G40" i="7" s="1"/>
  <c r="F41" i="7" s="1"/>
  <c r="G52" i="6"/>
  <c r="F53" i="6" s="1"/>
  <c r="E54" i="6" s="1"/>
  <c r="D55" i="6" s="1"/>
  <c r="C56" i="6" s="1"/>
  <c r="G51" i="6"/>
  <c r="F36" i="6"/>
  <c r="S52" i="6" s="1"/>
  <c r="F37" i="6"/>
  <c r="F38" i="6"/>
  <c r="G40" i="6"/>
  <c r="G39" i="6"/>
  <c r="J18" i="7"/>
  <c r="J19" i="7"/>
  <c r="K19" i="7" s="1"/>
  <c r="L19" i="7" s="1"/>
  <c r="L34" i="7" s="1"/>
  <c r="K35" i="7" s="1"/>
  <c r="J36" i="7" s="1"/>
  <c r="I37" i="7" s="1"/>
  <c r="H38" i="7" s="1"/>
  <c r="L81" i="14" l="1"/>
  <c r="F49" i="15"/>
  <c r="E50" i="15" s="1"/>
  <c r="F48" i="15"/>
  <c r="L85" i="14"/>
  <c r="O85" i="14" s="1"/>
  <c r="K45" i="14"/>
  <c r="M31" i="15"/>
  <c r="M30" i="15"/>
  <c r="N29" i="15" s="1"/>
  <c r="O28" i="15" s="1"/>
  <c r="P27" i="15" s="1"/>
  <c r="Q26" i="15" s="1"/>
  <c r="K63" i="14"/>
  <c r="K46" i="14"/>
  <c r="K65" i="14"/>
  <c r="K64" i="14"/>
  <c r="F71" i="9"/>
  <c r="K42" i="14"/>
  <c r="L84" i="14"/>
  <c r="O84" i="14" s="1"/>
  <c r="K44" i="14"/>
  <c r="K43" i="14"/>
  <c r="L83" i="14"/>
  <c r="O83" i="14" s="1"/>
  <c r="J49" i="10"/>
  <c r="K28" i="10"/>
  <c r="K27" i="10"/>
  <c r="J48" i="10"/>
  <c r="K31" i="10"/>
  <c r="J51" i="10"/>
  <c r="K30" i="10"/>
  <c r="K25" i="10"/>
  <c r="J46" i="10"/>
  <c r="J47" i="10"/>
  <c r="K26" i="10"/>
  <c r="J45" i="10"/>
  <c r="K24" i="10"/>
  <c r="K23" i="10"/>
  <c r="J44" i="10"/>
  <c r="J43" i="10"/>
  <c r="K22" i="10"/>
  <c r="K29" i="10"/>
  <c r="J50" i="10"/>
  <c r="G68" i="9"/>
  <c r="H88" i="9"/>
  <c r="F70" i="9"/>
  <c r="G90" i="9"/>
  <c r="E72" i="9"/>
  <c r="F92" i="9"/>
  <c r="E73" i="9"/>
  <c r="E94" i="9" s="1"/>
  <c r="F93" i="9"/>
  <c r="O81" i="14"/>
  <c r="L82" i="14"/>
  <c r="O82" i="14" s="1"/>
  <c r="P51" i="14"/>
  <c r="O51" i="14" s="1"/>
  <c r="K62" i="14"/>
  <c r="P71" i="14"/>
  <c r="O71" i="14" s="1"/>
  <c r="L68" i="14"/>
  <c r="N69" i="14"/>
  <c r="O70" i="14"/>
  <c r="L67" i="14"/>
  <c r="L66" i="14"/>
  <c r="L86" i="14" s="1"/>
  <c r="O86" i="14" s="1"/>
  <c r="L47" i="14"/>
  <c r="M48" i="14"/>
  <c r="N49" i="14"/>
  <c r="O50" i="14"/>
  <c r="F56" i="13"/>
  <c r="F55" i="13"/>
  <c r="E39" i="13"/>
  <c r="E38" i="13"/>
  <c r="E40" i="13"/>
  <c r="F53" i="13"/>
  <c r="F52" i="13"/>
  <c r="E37" i="13"/>
  <c r="E70" i="13" s="1"/>
  <c r="N25" i="12"/>
  <c r="F52" i="6"/>
  <c r="Q40" i="9"/>
  <c r="Q83" i="9" s="1"/>
  <c r="M44" i="9"/>
  <c r="M87" i="9" s="1"/>
  <c r="N21" i="12"/>
  <c r="N26" i="12"/>
  <c r="N20" i="12"/>
  <c r="L30" i="12"/>
  <c r="N23" i="12"/>
  <c r="N24" i="12"/>
  <c r="N19" i="12"/>
  <c r="M28" i="12"/>
  <c r="M31" i="12"/>
  <c r="M30" i="12"/>
  <c r="N22" i="12"/>
  <c r="K45" i="9"/>
  <c r="K88" i="9" s="1"/>
  <c r="L45" i="9"/>
  <c r="L88" i="9" s="1"/>
  <c r="O41" i="9"/>
  <c r="O84" i="9" s="1"/>
  <c r="M46" i="9"/>
  <c r="M89" i="9" s="1"/>
  <c r="L47" i="9"/>
  <c r="L90" i="9" s="1"/>
  <c r="O39" i="9"/>
  <c r="O82" i="9" s="1"/>
  <c r="M48" i="9"/>
  <c r="M91" i="9" s="1"/>
  <c r="O38" i="9"/>
  <c r="O81" i="9" s="1"/>
  <c r="M47" i="9"/>
  <c r="M90" i="9" s="1"/>
  <c r="N51" i="9"/>
  <c r="N94" i="9" s="1"/>
  <c r="N50" i="9"/>
  <c r="N93" i="9" s="1"/>
  <c r="N49" i="9"/>
  <c r="N92" i="9" s="1"/>
  <c r="N41" i="9"/>
  <c r="N84" i="9" s="1"/>
  <c r="Q39" i="9"/>
  <c r="Q82" i="9" s="1"/>
  <c r="N45" i="9"/>
  <c r="N88" i="9" s="1"/>
  <c r="Q38" i="9"/>
  <c r="Q81" i="9" s="1"/>
  <c r="M42" i="9"/>
  <c r="M85" i="9" s="1"/>
  <c r="O40" i="9"/>
  <c r="O83" i="9" s="1"/>
  <c r="G39" i="7"/>
  <c r="F40" i="7" s="1"/>
  <c r="E41" i="7" s="1"/>
  <c r="E37" i="6"/>
  <c r="R53" i="6" s="1"/>
  <c r="E38" i="6"/>
  <c r="F40" i="6"/>
  <c r="F39" i="6"/>
  <c r="K17" i="7"/>
  <c r="L16" i="7" s="1"/>
  <c r="L31" i="7" s="1"/>
  <c r="K18" i="7"/>
  <c r="L18" i="7" s="1"/>
  <c r="L33" i="7" s="1"/>
  <c r="K34" i="7" s="1"/>
  <c r="J35" i="7" s="1"/>
  <c r="I36" i="7" s="1"/>
  <c r="H37" i="7" s="1"/>
  <c r="G38" i="7" s="1"/>
  <c r="K82" i="14" l="1"/>
  <c r="J46" i="14"/>
  <c r="J45" i="14"/>
  <c r="J65" i="14"/>
  <c r="E49" i="15"/>
  <c r="D50" i="15" s="1"/>
  <c r="E48" i="15"/>
  <c r="N31" i="15"/>
  <c r="N30" i="15"/>
  <c r="O29" i="15" s="1"/>
  <c r="P28" i="15" s="1"/>
  <c r="Q27" i="15" s="1"/>
  <c r="J64" i="14"/>
  <c r="J63" i="14"/>
  <c r="K85" i="14"/>
  <c r="J43" i="14"/>
  <c r="K84" i="14"/>
  <c r="J44" i="14"/>
  <c r="K83" i="14"/>
  <c r="L30" i="10"/>
  <c r="L31" i="10"/>
  <c r="K51" i="10"/>
  <c r="L26" i="10"/>
  <c r="K47" i="10"/>
  <c r="L25" i="10"/>
  <c r="K46" i="10"/>
  <c r="K45" i="10"/>
  <c r="L24" i="10"/>
  <c r="L27" i="10"/>
  <c r="K48" i="10"/>
  <c r="K49" i="10"/>
  <c r="L28" i="10"/>
  <c r="L22" i="10"/>
  <c r="K43" i="10"/>
  <c r="L29" i="10"/>
  <c r="K50" i="10"/>
  <c r="L21" i="10"/>
  <c r="K42" i="10"/>
  <c r="K44" i="10"/>
  <c r="L23" i="10"/>
  <c r="E71" i="9"/>
  <c r="F91" i="9"/>
  <c r="D73" i="9"/>
  <c r="D94" i="9" s="1"/>
  <c r="E93" i="9"/>
  <c r="F69" i="9"/>
  <c r="G89" i="9"/>
  <c r="L87" i="14"/>
  <c r="O87" i="14" s="1"/>
  <c r="K86" i="14"/>
  <c r="N71" i="14"/>
  <c r="K68" i="14"/>
  <c r="K67" i="14"/>
  <c r="K66" i="14"/>
  <c r="M69" i="14"/>
  <c r="N70" i="14"/>
  <c r="K47" i="14"/>
  <c r="L48" i="14"/>
  <c r="L88" i="14" s="1"/>
  <c r="O88" i="14" s="1"/>
  <c r="N51" i="14"/>
  <c r="M49" i="14"/>
  <c r="N50" i="14"/>
  <c r="E54" i="13"/>
  <c r="E56" i="13"/>
  <c r="E55" i="13"/>
  <c r="E53" i="13"/>
  <c r="D39" i="13"/>
  <c r="D38" i="13"/>
  <c r="D71" i="13" s="1"/>
  <c r="D40" i="13"/>
  <c r="O24" i="12"/>
  <c r="E53" i="6"/>
  <c r="O42" i="9"/>
  <c r="O85" i="9" s="1"/>
  <c r="P41" i="9"/>
  <c r="P84" i="9" s="1"/>
  <c r="N43" i="9"/>
  <c r="N86" i="9" s="1"/>
  <c r="N31" i="12"/>
  <c r="N30" i="12"/>
  <c r="M29" i="12"/>
  <c r="O21" i="12"/>
  <c r="N27" i="12"/>
  <c r="O22" i="12"/>
  <c r="O19" i="12"/>
  <c r="O20" i="12"/>
  <c r="O18" i="12"/>
  <c r="O23" i="12"/>
  <c r="O25" i="12"/>
  <c r="N29" i="12"/>
  <c r="N40" i="9"/>
  <c r="N83" i="9" s="1"/>
  <c r="Q37" i="9"/>
  <c r="Q80" i="9" s="1"/>
  <c r="M41" i="9"/>
  <c r="M84" i="9" s="1"/>
  <c r="N39" i="9"/>
  <c r="N82" i="9" s="1"/>
  <c r="P37" i="9"/>
  <c r="P80" i="9" s="1"/>
  <c r="M40" i="9"/>
  <c r="M83" i="9" s="1"/>
  <c r="N47" i="9"/>
  <c r="N90" i="9" s="1"/>
  <c r="O51" i="9"/>
  <c r="O94" i="9" s="1"/>
  <c r="O49" i="9"/>
  <c r="O92" i="9" s="1"/>
  <c r="O48" i="9"/>
  <c r="O91" i="9" s="1"/>
  <c r="O50" i="9"/>
  <c r="O93" i="9" s="1"/>
  <c r="N46" i="9"/>
  <c r="N89" i="9" s="1"/>
  <c r="O44" i="9"/>
  <c r="O87" i="9" s="1"/>
  <c r="F39" i="7"/>
  <c r="E40" i="7" s="1"/>
  <c r="D41" i="7" s="1"/>
  <c r="D38" i="6"/>
  <c r="Q54" i="6" s="1"/>
  <c r="E40" i="6"/>
  <c r="E39" i="6"/>
  <c r="L17" i="7"/>
  <c r="I46" i="14" l="1"/>
  <c r="I45" i="14"/>
  <c r="H46" i="14" s="1"/>
  <c r="I65" i="14"/>
  <c r="I64" i="14"/>
  <c r="D49" i="15"/>
  <c r="C50" i="15" s="1"/>
  <c r="D48" i="15"/>
  <c r="O31" i="15"/>
  <c r="O30" i="15"/>
  <c r="Q28" i="15" s="1"/>
  <c r="J85" i="14"/>
  <c r="J84" i="14"/>
  <c r="K87" i="14"/>
  <c r="J87" i="14" s="1"/>
  <c r="I44" i="14"/>
  <c r="J83" i="14"/>
  <c r="M31" i="10"/>
  <c r="M30" i="10"/>
  <c r="L51" i="10"/>
  <c r="M21" i="10"/>
  <c r="L42" i="10"/>
  <c r="M29" i="10"/>
  <c r="L50" i="10"/>
  <c r="M28" i="10"/>
  <c r="L49" i="10"/>
  <c r="M27" i="10"/>
  <c r="L48" i="10"/>
  <c r="M26" i="10"/>
  <c r="L47" i="10"/>
  <c r="M24" i="10"/>
  <c r="L45" i="10"/>
  <c r="M25" i="10"/>
  <c r="L46" i="10"/>
  <c r="M22" i="10"/>
  <c r="L43" i="10"/>
  <c r="M20" i="10"/>
  <c r="L41" i="10"/>
  <c r="M23" i="10"/>
  <c r="L44" i="10"/>
  <c r="E70" i="9"/>
  <c r="F90" i="9"/>
  <c r="D72" i="9"/>
  <c r="E92" i="9"/>
  <c r="J86" i="14"/>
  <c r="K88" i="14"/>
  <c r="J68" i="14"/>
  <c r="M71" i="14"/>
  <c r="L69" i="14"/>
  <c r="M70" i="14"/>
  <c r="J67" i="14"/>
  <c r="J66" i="14"/>
  <c r="J47" i="14"/>
  <c r="K48" i="14"/>
  <c r="M51" i="14"/>
  <c r="L49" i="14"/>
  <c r="M50" i="14"/>
  <c r="D56" i="13"/>
  <c r="D55" i="13"/>
  <c r="D54" i="13"/>
  <c r="C39" i="13"/>
  <c r="C72" i="13" s="1"/>
  <c r="C40" i="13"/>
  <c r="P23" i="12"/>
  <c r="D54" i="6"/>
  <c r="O26" i="12"/>
  <c r="N28" i="12"/>
  <c r="O28" i="12"/>
  <c r="P19" i="12"/>
  <c r="P21" i="12"/>
  <c r="P20" i="12"/>
  <c r="P22" i="12"/>
  <c r="O29" i="12"/>
  <c r="P24" i="12"/>
  <c r="P17" i="12"/>
  <c r="P18" i="12"/>
  <c r="O31" i="12"/>
  <c r="O30" i="12"/>
  <c r="P38" i="9"/>
  <c r="P81" i="9" s="1"/>
  <c r="O46" i="9"/>
  <c r="O89" i="9" s="1"/>
  <c r="Q48" i="9"/>
  <c r="Q91" i="9" s="1"/>
  <c r="P49" i="9"/>
  <c r="P92" i="9" s="1"/>
  <c r="P50" i="9"/>
  <c r="P93" i="9" s="1"/>
  <c r="Q49" i="9"/>
  <c r="Q92" i="9" s="1"/>
  <c r="O45" i="9"/>
  <c r="O88" i="9" s="1"/>
  <c r="Q46" i="9"/>
  <c r="Q89" i="9" s="1"/>
  <c r="P47" i="9"/>
  <c r="P90" i="9" s="1"/>
  <c r="P51" i="9"/>
  <c r="P94" i="9" s="1"/>
  <c r="Q51" i="9"/>
  <c r="Q94" i="9" s="1"/>
  <c r="Q50" i="9"/>
  <c r="Q93" i="9" s="1"/>
  <c r="Q47" i="9"/>
  <c r="Q90" i="9" s="1"/>
  <c r="P48" i="9"/>
  <c r="P91" i="9" s="1"/>
  <c r="P43" i="9"/>
  <c r="P86" i="9" s="1"/>
  <c r="Q42" i="9"/>
  <c r="Q85" i="9" s="1"/>
  <c r="L32" i="7"/>
  <c r="K32" i="7" s="1"/>
  <c r="D40" i="6"/>
  <c r="D39" i="6"/>
  <c r="H45" i="14" l="1"/>
  <c r="G46" i="14" s="1"/>
  <c r="H65" i="14"/>
  <c r="C49" i="15"/>
  <c r="B50" i="15" s="1"/>
  <c r="P31" i="15"/>
  <c r="P30" i="15"/>
  <c r="Q29" i="15" s="1"/>
  <c r="I85" i="14"/>
  <c r="J88" i="14"/>
  <c r="I88" i="14" s="1"/>
  <c r="I84" i="14"/>
  <c r="N19" i="10"/>
  <c r="M40" i="10"/>
  <c r="N29" i="10"/>
  <c r="M50" i="10"/>
  <c r="N22" i="10"/>
  <c r="M43" i="10"/>
  <c r="N31" i="10"/>
  <c r="N30" i="10"/>
  <c r="M51" i="10"/>
  <c r="M45" i="10"/>
  <c r="N24" i="10"/>
  <c r="N25" i="10"/>
  <c r="M46" i="10"/>
  <c r="N20" i="10"/>
  <c r="M41" i="10"/>
  <c r="N21" i="10"/>
  <c r="M42" i="10"/>
  <c r="N23" i="10"/>
  <c r="M44" i="10"/>
  <c r="N26" i="10"/>
  <c r="M47" i="10"/>
  <c r="N27" i="10"/>
  <c r="M48" i="10"/>
  <c r="N28" i="10"/>
  <c r="M49" i="10"/>
  <c r="C73" i="9"/>
  <c r="C94" i="9" s="1"/>
  <c r="D93" i="9"/>
  <c r="D71" i="9"/>
  <c r="E91" i="9"/>
  <c r="L89" i="14"/>
  <c r="O89" i="14" s="1"/>
  <c r="I87" i="14"/>
  <c r="I86" i="14"/>
  <c r="I68" i="14"/>
  <c r="L71" i="14"/>
  <c r="K69" i="14"/>
  <c r="I67" i="14"/>
  <c r="I66" i="14"/>
  <c r="L70" i="14"/>
  <c r="I47" i="14"/>
  <c r="J48" i="14"/>
  <c r="L51" i="14"/>
  <c r="K49" i="14"/>
  <c r="J49" i="14" s="1"/>
  <c r="L50" i="14"/>
  <c r="C56" i="13"/>
  <c r="C55" i="13"/>
  <c r="B40" i="13"/>
  <c r="B73" i="13" s="1"/>
  <c r="Q22" i="12"/>
  <c r="C55" i="6"/>
  <c r="P28" i="12"/>
  <c r="Q19" i="12"/>
  <c r="Q18" i="12"/>
  <c r="O27" i="12"/>
  <c r="P29" i="12"/>
  <c r="Q17" i="12"/>
  <c r="Q23" i="12"/>
  <c r="Q43" i="12" s="1"/>
  <c r="P31" i="12"/>
  <c r="P30" i="12"/>
  <c r="Q21" i="12"/>
  <c r="P27" i="12"/>
  <c r="P25" i="12"/>
  <c r="Q16" i="12"/>
  <c r="Q36" i="12" s="1"/>
  <c r="Q20" i="12"/>
  <c r="Q40" i="12" s="1"/>
  <c r="Q44" i="9"/>
  <c r="Q87" i="9" s="1"/>
  <c r="P45" i="9"/>
  <c r="P88" i="9" s="1"/>
  <c r="P44" i="9"/>
  <c r="P87" i="9" s="1"/>
  <c r="Q43" i="9"/>
  <c r="Q86" i="9" s="1"/>
  <c r="K33" i="7"/>
  <c r="J34" i="7" s="1"/>
  <c r="I35" i="7" s="1"/>
  <c r="H36" i="7" s="1"/>
  <c r="G37" i="7" s="1"/>
  <c r="F38" i="7" s="1"/>
  <c r="E39" i="7" s="1"/>
  <c r="D40" i="7" s="1"/>
  <c r="C41" i="7" s="1"/>
  <c r="C40" i="6"/>
  <c r="C39" i="6"/>
  <c r="B40" i="6" l="1"/>
  <c r="O56" i="6" s="1"/>
  <c r="P55" i="6"/>
  <c r="Q31" i="15"/>
  <c r="Q30" i="15"/>
  <c r="H85" i="14"/>
  <c r="K89" i="14"/>
  <c r="J89" i="14" s="1"/>
  <c r="O23" i="10"/>
  <c r="N44" i="10"/>
  <c r="O31" i="10"/>
  <c r="O30" i="10"/>
  <c r="N51" i="10"/>
  <c r="O27" i="10"/>
  <c r="N48" i="10"/>
  <c r="O22" i="10"/>
  <c r="N43" i="10"/>
  <c r="O19" i="10"/>
  <c r="N40" i="10"/>
  <c r="O21" i="10"/>
  <c r="N42" i="10"/>
  <c r="N39" i="10"/>
  <c r="O18" i="10"/>
  <c r="O26" i="10"/>
  <c r="N47" i="10"/>
  <c r="O25" i="10"/>
  <c r="N46" i="10"/>
  <c r="O20" i="10"/>
  <c r="N41" i="10"/>
  <c r="O24" i="10"/>
  <c r="N45" i="10"/>
  <c r="O29" i="10"/>
  <c r="N50" i="10"/>
  <c r="O28" i="10"/>
  <c r="N49" i="10"/>
  <c r="C72" i="9"/>
  <c r="D92" i="9"/>
  <c r="K71" i="14"/>
  <c r="L91" i="14"/>
  <c r="O91" i="14" s="1"/>
  <c r="L90" i="14"/>
  <c r="O90" i="14" s="1"/>
  <c r="H68" i="14"/>
  <c r="H87" i="14"/>
  <c r="H86" i="14"/>
  <c r="H88" i="14"/>
  <c r="H66" i="14"/>
  <c r="H67" i="14"/>
  <c r="H47" i="14"/>
  <c r="J69" i="14"/>
  <c r="K70" i="14"/>
  <c r="I49" i="14"/>
  <c r="I48" i="14"/>
  <c r="K51" i="14"/>
  <c r="K50" i="14"/>
  <c r="B56" i="13"/>
  <c r="Q41" i="12"/>
  <c r="P41" i="12" s="1"/>
  <c r="Q37" i="12"/>
  <c r="P37" i="12" s="1"/>
  <c r="Q39" i="12"/>
  <c r="P40" i="12" s="1"/>
  <c r="Q38" i="12"/>
  <c r="Q42" i="12"/>
  <c r="P43" i="12" s="1"/>
  <c r="B56" i="6"/>
  <c r="Q26" i="12"/>
  <c r="Q46" i="12" s="1"/>
  <c r="Q31" i="12"/>
  <c r="Q51" i="12" s="1"/>
  <c r="Q30" i="12"/>
  <c r="Q29" i="12"/>
  <c r="Q28" i="12"/>
  <c r="Q24" i="12"/>
  <c r="P26" i="12"/>
  <c r="Q27" i="12"/>
  <c r="J33" i="7"/>
  <c r="I34" i="7" s="1"/>
  <c r="H35" i="7" s="1"/>
  <c r="G36" i="7" s="1"/>
  <c r="F37" i="7" s="1"/>
  <c r="E38" i="7" s="1"/>
  <c r="D39" i="7" s="1"/>
  <c r="C40" i="7" s="1"/>
  <c r="B41" i="7" s="1"/>
  <c r="J71" i="14" l="1"/>
  <c r="P81" i="14"/>
  <c r="P28" i="10"/>
  <c r="O49" i="10"/>
  <c r="P25" i="10"/>
  <c r="O46" i="10"/>
  <c r="P22" i="10"/>
  <c r="O43" i="10"/>
  <c r="P18" i="10"/>
  <c r="O39" i="10"/>
  <c r="P26" i="10"/>
  <c r="O47" i="10"/>
  <c r="P29" i="10"/>
  <c r="O50" i="10"/>
  <c r="P27" i="10"/>
  <c r="O48" i="10"/>
  <c r="P23" i="10"/>
  <c r="O44" i="10"/>
  <c r="P24" i="10"/>
  <c r="O45" i="10"/>
  <c r="P20" i="10"/>
  <c r="O41" i="10"/>
  <c r="P31" i="10"/>
  <c r="P30" i="10"/>
  <c r="O51" i="10"/>
  <c r="P19" i="10"/>
  <c r="O40" i="10"/>
  <c r="P17" i="10"/>
  <c r="O38" i="10"/>
  <c r="P21" i="10"/>
  <c r="O42" i="10"/>
  <c r="B73" i="9"/>
  <c r="B94" i="9" s="1"/>
  <c r="C93" i="9"/>
  <c r="K91" i="14"/>
  <c r="K90" i="14"/>
  <c r="I89" i="14"/>
  <c r="G87" i="14"/>
  <c r="G86" i="14"/>
  <c r="G88" i="14"/>
  <c r="H49" i="14"/>
  <c r="G47" i="14"/>
  <c r="H48" i="14"/>
  <c r="I69" i="14"/>
  <c r="G67" i="14"/>
  <c r="G66" i="14"/>
  <c r="J70" i="14"/>
  <c r="J51" i="14"/>
  <c r="J50" i="14"/>
  <c r="P39" i="12"/>
  <c r="O40" i="12" s="1"/>
  <c r="N41" i="12" s="1"/>
  <c r="P38" i="12"/>
  <c r="O38" i="12" s="1"/>
  <c r="N39" i="12" s="1"/>
  <c r="O41" i="12"/>
  <c r="N42" i="12" s="1"/>
  <c r="Q44" i="12"/>
  <c r="P44" i="12" s="1"/>
  <c r="O44" i="12" s="1"/>
  <c r="Q48" i="12"/>
  <c r="P42" i="12"/>
  <c r="O43" i="12" s="1"/>
  <c r="Q47" i="12"/>
  <c r="P47" i="12" s="1"/>
  <c r="Q49" i="12"/>
  <c r="Q50" i="12"/>
  <c r="P51" i="12" s="1"/>
  <c r="Q25" i="12"/>
  <c r="I71" i="14" l="1"/>
  <c r="Q31" i="10"/>
  <c r="Q30" i="10"/>
  <c r="P51" i="10"/>
  <c r="Q18" i="10"/>
  <c r="P39" i="10"/>
  <c r="Q23" i="10"/>
  <c r="P44" i="10"/>
  <c r="Q26" i="10"/>
  <c r="P47" i="10"/>
  <c r="Q25" i="10"/>
  <c r="P46" i="10"/>
  <c r="Q21" i="10"/>
  <c r="P42" i="10"/>
  <c r="Q24" i="10"/>
  <c r="P45" i="10"/>
  <c r="Q20" i="10"/>
  <c r="P41" i="10"/>
  <c r="Q16" i="10"/>
  <c r="P37" i="10"/>
  <c r="Q29" i="10"/>
  <c r="P50" i="10"/>
  <c r="Q19" i="10"/>
  <c r="P40" i="10"/>
  <c r="Q22" i="10"/>
  <c r="P43" i="10"/>
  <c r="Q28" i="10"/>
  <c r="P49" i="10"/>
  <c r="Q17" i="10"/>
  <c r="P38" i="10"/>
  <c r="Q27" i="10"/>
  <c r="P48" i="10"/>
  <c r="J90" i="14"/>
  <c r="J91" i="14"/>
  <c r="F88" i="14"/>
  <c r="H89" i="14"/>
  <c r="F87" i="14"/>
  <c r="H69" i="14"/>
  <c r="I51" i="14"/>
  <c r="G48" i="14"/>
  <c r="G49" i="14"/>
  <c r="F67" i="14"/>
  <c r="I70" i="14"/>
  <c r="H70" i="14" s="1"/>
  <c r="F47" i="14"/>
  <c r="I50" i="14"/>
  <c r="O39" i="12"/>
  <c r="N40" i="12" s="1"/>
  <c r="M41" i="12" s="1"/>
  <c r="M42" i="12"/>
  <c r="N44" i="12"/>
  <c r="P50" i="12"/>
  <c r="O51" i="12" s="1"/>
  <c r="P49" i="12"/>
  <c r="P48" i="12"/>
  <c r="Q45" i="12"/>
  <c r="N45" i="12" s="1"/>
  <c r="O42" i="12"/>
  <c r="N43" i="12" s="1"/>
  <c r="Q48" i="10" l="1"/>
  <c r="Q70" i="10"/>
  <c r="Q36" i="10"/>
  <c r="Q58" i="10"/>
  <c r="Q61" i="10"/>
  <c r="Q39" i="10"/>
  <c r="Q40" i="10"/>
  <c r="Q62" i="10"/>
  <c r="Q46" i="10"/>
  <c r="Q68" i="10"/>
  <c r="Q37" i="10"/>
  <c r="Q59" i="10"/>
  <c r="Q64" i="10"/>
  <c r="Q42" i="10"/>
  <c r="Q49" i="10"/>
  <c r="Q71" i="10"/>
  <c r="Q44" i="10"/>
  <c r="Q66" i="10"/>
  <c r="Q45" i="10"/>
  <c r="Q67" i="10"/>
  <c r="Q65" i="10"/>
  <c r="Q43" i="10"/>
  <c r="Q72" i="10"/>
  <c r="Q50" i="10"/>
  <c r="Q69" i="10"/>
  <c r="Q47" i="10"/>
  <c r="Q63" i="10"/>
  <c r="Q41" i="10"/>
  <c r="Q84" i="10" s="1"/>
  <c r="Q60" i="10"/>
  <c r="Q38" i="10"/>
  <c r="Q81" i="10" s="1"/>
  <c r="Q51" i="10"/>
  <c r="Q73" i="10"/>
  <c r="T73" i="10" s="1"/>
  <c r="E88" i="14"/>
  <c r="I91" i="14"/>
  <c r="I90" i="14"/>
  <c r="G89" i="14"/>
  <c r="H71" i="14"/>
  <c r="G71" i="14" s="1"/>
  <c r="H50" i="14"/>
  <c r="H51" i="14"/>
  <c r="G70" i="14"/>
  <c r="G68" i="14"/>
  <c r="F48" i="14"/>
  <c r="E48" i="14" s="1"/>
  <c r="M40" i="12"/>
  <c r="L41" i="12" s="1"/>
  <c r="L42" i="12"/>
  <c r="O50" i="12"/>
  <c r="N51" i="12" s="1"/>
  <c r="M45" i="12"/>
  <c r="P46" i="12"/>
  <c r="O47" i="12" s="1"/>
  <c r="N48" i="12" s="1"/>
  <c r="M44" i="12"/>
  <c r="M43" i="12"/>
  <c r="O49" i="12"/>
  <c r="N50" i="12" s="1"/>
  <c r="P45" i="12"/>
  <c r="O45" i="12" s="1"/>
  <c r="N46" i="12" s="1"/>
  <c r="O48" i="12"/>
  <c r="N49" i="12" s="1"/>
  <c r="Q92" i="10" l="1"/>
  <c r="Q80" i="10"/>
  <c r="Q79" i="10"/>
  <c r="Q94" i="10"/>
  <c r="Q88" i="10"/>
  <c r="Q83" i="10"/>
  <c r="Q87" i="10"/>
  <c r="Q89" i="10"/>
  <c r="P62" i="10"/>
  <c r="T61" i="10"/>
  <c r="P64" i="10"/>
  <c r="T63" i="10"/>
  <c r="Q93" i="10"/>
  <c r="P68" i="10"/>
  <c r="T67" i="10"/>
  <c r="P72" i="10"/>
  <c r="T71" i="10"/>
  <c r="P60" i="10"/>
  <c r="T59" i="10"/>
  <c r="P63" i="10"/>
  <c r="T62" i="10"/>
  <c r="P59" i="10"/>
  <c r="T58" i="10"/>
  <c r="P66" i="10"/>
  <c r="T65" i="10"/>
  <c r="P65" i="10"/>
  <c r="T64" i="10"/>
  <c r="P73" i="10"/>
  <c r="P94" i="10" s="1"/>
  <c r="T72" i="10"/>
  <c r="P71" i="10"/>
  <c r="T70" i="10"/>
  <c r="P70" i="10"/>
  <c r="T69" i="10"/>
  <c r="P61" i="10"/>
  <c r="T60" i="10"/>
  <c r="Q90" i="10"/>
  <c r="Q86" i="10"/>
  <c r="P67" i="10"/>
  <c r="T66" i="10"/>
  <c r="Q85" i="10"/>
  <c r="P69" i="10"/>
  <c r="T68" i="10"/>
  <c r="Q82" i="10"/>
  <c r="Q91" i="10"/>
  <c r="H91" i="14"/>
  <c r="H90" i="14"/>
  <c r="F89" i="14"/>
  <c r="F71" i="14"/>
  <c r="G50" i="14"/>
  <c r="G51" i="14"/>
  <c r="G69" i="14"/>
  <c r="F70" i="14" s="1"/>
  <c r="F68" i="14"/>
  <c r="L44" i="12"/>
  <c r="M51" i="12"/>
  <c r="K42" i="12"/>
  <c r="M50" i="12"/>
  <c r="L45" i="12"/>
  <c r="L43" i="12"/>
  <c r="M46" i="12"/>
  <c r="L46" i="12" s="1"/>
  <c r="M49" i="12"/>
  <c r="O46" i="12"/>
  <c r="N47" i="12" s="1"/>
  <c r="M48" i="12" s="1"/>
  <c r="O64" i="10" l="1"/>
  <c r="P84" i="10"/>
  <c r="U58" i="10"/>
  <c r="O65" i="10"/>
  <c r="P85" i="10"/>
  <c r="O73" i="10"/>
  <c r="O94" i="10" s="1"/>
  <c r="P93" i="10"/>
  <c r="O68" i="10"/>
  <c r="P88" i="10"/>
  <c r="O62" i="10"/>
  <c r="P82" i="10"/>
  <c r="O72" i="10"/>
  <c r="P92" i="10"/>
  <c r="O66" i="10"/>
  <c r="P86" i="10"/>
  <c r="O60" i="10"/>
  <c r="P80" i="10"/>
  <c r="O61" i="10"/>
  <c r="P81" i="10"/>
  <c r="O69" i="10"/>
  <c r="P89" i="10"/>
  <c r="O71" i="10"/>
  <c r="P91" i="10"/>
  <c r="O67" i="10"/>
  <c r="P87" i="10"/>
  <c r="O70" i="10"/>
  <c r="P90" i="10"/>
  <c r="O63" i="10"/>
  <c r="P83" i="10"/>
  <c r="G91" i="14"/>
  <c r="G90" i="14"/>
  <c r="E89" i="14"/>
  <c r="E71" i="14"/>
  <c r="F51" i="14"/>
  <c r="F69" i="14"/>
  <c r="E70" i="14" s="1"/>
  <c r="E68" i="14"/>
  <c r="F50" i="14"/>
  <c r="F49" i="14"/>
  <c r="K44" i="12"/>
  <c r="L49" i="12"/>
  <c r="L51" i="12"/>
  <c r="K43" i="12"/>
  <c r="L50" i="12"/>
  <c r="K46" i="12"/>
  <c r="K45" i="12"/>
  <c r="M47" i="12"/>
  <c r="L48" i="12" s="1"/>
  <c r="N64" i="10" l="1"/>
  <c r="O84" i="10"/>
  <c r="N73" i="10"/>
  <c r="N94" i="10" s="1"/>
  <c r="O93" i="10"/>
  <c r="N68" i="10"/>
  <c r="O88" i="10"/>
  <c r="N61" i="10"/>
  <c r="O81" i="10"/>
  <c r="N69" i="10"/>
  <c r="O89" i="10"/>
  <c r="N71" i="10"/>
  <c r="O91" i="10"/>
  <c r="N72" i="10"/>
  <c r="O92" i="10"/>
  <c r="N62" i="10"/>
  <c r="O82" i="10"/>
  <c r="N67" i="10"/>
  <c r="O87" i="10"/>
  <c r="N63" i="10"/>
  <c r="O83" i="10"/>
  <c r="N70" i="10"/>
  <c r="O90" i="10"/>
  <c r="N66" i="10"/>
  <c r="O86" i="10"/>
  <c r="N65" i="10"/>
  <c r="O85" i="10"/>
  <c r="D71" i="14"/>
  <c r="F91" i="14"/>
  <c r="F90" i="14"/>
  <c r="D89" i="14"/>
  <c r="E51" i="14"/>
  <c r="E69" i="14"/>
  <c r="D70" i="14" s="1"/>
  <c r="E50" i="14"/>
  <c r="E49" i="14"/>
  <c r="D49" i="14" s="1"/>
  <c r="K49" i="12"/>
  <c r="J46" i="12"/>
  <c r="K51" i="12"/>
  <c r="J43" i="12"/>
  <c r="J44" i="12"/>
  <c r="J45" i="12"/>
  <c r="K50" i="12"/>
  <c r="L47" i="12"/>
  <c r="M64" i="10" l="1"/>
  <c r="N84" i="10"/>
  <c r="M63" i="10"/>
  <c r="N83" i="10"/>
  <c r="M72" i="10"/>
  <c r="N92" i="10"/>
  <c r="M62" i="10"/>
  <c r="N82" i="10"/>
  <c r="M67" i="10"/>
  <c r="M66" i="10"/>
  <c r="N86" i="10"/>
  <c r="M71" i="10"/>
  <c r="N91" i="10"/>
  <c r="M68" i="10"/>
  <c r="N88" i="10"/>
  <c r="M73" i="10"/>
  <c r="M94" i="10" s="1"/>
  <c r="N93" i="10"/>
  <c r="M70" i="10"/>
  <c r="N90" i="10"/>
  <c r="M69" i="10"/>
  <c r="N89" i="10"/>
  <c r="M65" i="10"/>
  <c r="N85" i="10"/>
  <c r="C71" i="14"/>
  <c r="I46" i="12"/>
  <c r="E91" i="14"/>
  <c r="E90" i="14"/>
  <c r="D51" i="14"/>
  <c r="D69" i="14"/>
  <c r="C70" i="14" s="1"/>
  <c r="D50" i="14"/>
  <c r="C50" i="14" s="1"/>
  <c r="J51" i="12"/>
  <c r="I45" i="12"/>
  <c r="I44" i="12"/>
  <c r="J50" i="12"/>
  <c r="K48" i="12"/>
  <c r="J49" i="12" s="1"/>
  <c r="K47" i="12"/>
  <c r="L66" i="10" l="1"/>
  <c r="M86" i="10"/>
  <c r="L71" i="10"/>
  <c r="M91" i="10"/>
  <c r="L69" i="10"/>
  <c r="M89" i="10"/>
  <c r="L67" i="10"/>
  <c r="M87" i="10"/>
  <c r="L63" i="10"/>
  <c r="M83" i="10"/>
  <c r="L64" i="10"/>
  <c r="M84" i="10"/>
  <c r="L70" i="10"/>
  <c r="M90" i="10"/>
  <c r="L72" i="10"/>
  <c r="M92" i="10"/>
  <c r="L68" i="10"/>
  <c r="M88" i="10"/>
  <c r="L73" i="10"/>
  <c r="L94" i="10" s="1"/>
  <c r="M93" i="10"/>
  <c r="L65" i="10"/>
  <c r="M85" i="10"/>
  <c r="B71" i="14"/>
  <c r="H46" i="12"/>
  <c r="D91" i="14"/>
  <c r="D90" i="14"/>
  <c r="C51" i="14"/>
  <c r="B51" i="14" s="1"/>
  <c r="I51" i="12"/>
  <c r="H45" i="12"/>
  <c r="I50" i="12"/>
  <c r="J48" i="12"/>
  <c r="I49" i="12" s="1"/>
  <c r="J47" i="12"/>
  <c r="K73" i="10" l="1"/>
  <c r="K94" i="10" s="1"/>
  <c r="L93" i="10"/>
  <c r="K65" i="10"/>
  <c r="L85" i="10"/>
  <c r="K68" i="10"/>
  <c r="L88" i="10"/>
  <c r="K72" i="10"/>
  <c r="L92" i="10"/>
  <c r="K66" i="10"/>
  <c r="L86" i="10"/>
  <c r="K69" i="10"/>
  <c r="L89" i="10"/>
  <c r="K71" i="10"/>
  <c r="L91" i="10"/>
  <c r="K64" i="10"/>
  <c r="L84" i="10"/>
  <c r="K70" i="10"/>
  <c r="L90" i="10"/>
  <c r="K67" i="10"/>
  <c r="L87" i="10"/>
  <c r="G46" i="12"/>
  <c r="C91" i="14"/>
  <c r="C90" i="14"/>
  <c r="H51" i="12"/>
  <c r="H50" i="12"/>
  <c r="I48" i="12"/>
  <c r="H49" i="12" s="1"/>
  <c r="I47" i="12"/>
  <c r="B91" i="14" l="1"/>
  <c r="J68" i="10"/>
  <c r="K88" i="10"/>
  <c r="J65" i="10"/>
  <c r="K85" i="10"/>
  <c r="J70" i="10"/>
  <c r="K90" i="10"/>
  <c r="J73" i="10"/>
  <c r="J94" i="10" s="1"/>
  <c r="K93" i="10"/>
  <c r="J66" i="10"/>
  <c r="K86" i="10"/>
  <c r="J71" i="10"/>
  <c r="K91" i="10"/>
  <c r="J72" i="10"/>
  <c r="K92" i="10"/>
  <c r="J67" i="10"/>
  <c r="K87" i="10"/>
  <c r="J69" i="10"/>
  <c r="K89" i="10"/>
  <c r="G51" i="12"/>
  <c r="G50" i="12"/>
  <c r="H48" i="12"/>
  <c r="G49" i="12" s="1"/>
  <c r="H47" i="12"/>
  <c r="I72" i="10" l="1"/>
  <c r="J92" i="10"/>
  <c r="I66" i="10"/>
  <c r="J86" i="10"/>
  <c r="I68" i="10"/>
  <c r="J88" i="10"/>
  <c r="I70" i="10"/>
  <c r="J90" i="10"/>
  <c r="I73" i="10"/>
  <c r="I94" i="10" s="1"/>
  <c r="J93" i="10"/>
  <c r="I67" i="10"/>
  <c r="J87" i="10"/>
  <c r="I71" i="10"/>
  <c r="J91" i="10"/>
  <c r="I69" i="10"/>
  <c r="J89" i="10"/>
  <c r="F51" i="12"/>
  <c r="F50" i="12"/>
  <c r="G48" i="12"/>
  <c r="F49" i="12" s="1"/>
  <c r="G47" i="12"/>
  <c r="H72" i="10" l="1"/>
  <c r="I92" i="10"/>
  <c r="H69" i="10"/>
  <c r="I89" i="10"/>
  <c r="H73" i="10"/>
  <c r="H94" i="10" s="1"/>
  <c r="I93" i="10"/>
  <c r="H70" i="10"/>
  <c r="I90" i="10"/>
  <c r="H68" i="10"/>
  <c r="I88" i="10"/>
  <c r="H71" i="10"/>
  <c r="I91" i="10"/>
  <c r="H67" i="10"/>
  <c r="I87" i="10"/>
  <c r="E51" i="12"/>
  <c r="E50" i="12"/>
  <c r="F47" i="12"/>
  <c r="F48" i="12"/>
  <c r="E49" i="12" s="1"/>
  <c r="G69" i="10" l="1"/>
  <c r="H89" i="10"/>
  <c r="G72" i="10"/>
  <c r="H92" i="10"/>
  <c r="G71" i="10"/>
  <c r="H91" i="10"/>
  <c r="G70" i="10"/>
  <c r="H90" i="10"/>
  <c r="G68" i="10"/>
  <c r="H88" i="10"/>
  <c r="G73" i="10"/>
  <c r="G94" i="10" s="1"/>
  <c r="H93" i="10"/>
  <c r="D51" i="12"/>
  <c r="D50" i="12"/>
  <c r="E48" i="12"/>
  <c r="D49" i="12" s="1"/>
  <c r="F71" i="10" l="1"/>
  <c r="G91" i="10"/>
  <c r="F73" i="10"/>
  <c r="F94" i="10" s="1"/>
  <c r="G93" i="10"/>
  <c r="F69" i="10"/>
  <c r="G89" i="10"/>
  <c r="F72" i="10"/>
  <c r="G92" i="10"/>
  <c r="F70" i="10"/>
  <c r="G90" i="10"/>
  <c r="C51" i="12"/>
  <c r="C50" i="12"/>
  <c r="E73" i="10" l="1"/>
  <c r="E94" i="10" s="1"/>
  <c r="F93" i="10"/>
  <c r="E71" i="10"/>
  <c r="F91" i="10"/>
  <c r="E70" i="10"/>
  <c r="F90" i="10"/>
  <c r="E72" i="10"/>
  <c r="F92" i="10"/>
  <c r="B51" i="12"/>
  <c r="D72" i="10" l="1"/>
  <c r="E92" i="10"/>
  <c r="D73" i="10"/>
  <c r="D94" i="10" s="1"/>
  <c r="E93" i="10"/>
  <c r="D71" i="10"/>
  <c r="E91" i="10"/>
  <c r="C72" i="10" l="1"/>
  <c r="D92" i="10"/>
  <c r="C73" i="10"/>
  <c r="C94" i="10" s="1"/>
  <c r="D93" i="10"/>
  <c r="B94" i="10" l="1"/>
  <c r="C93" i="10"/>
  <c r="S7" i="9"/>
  <c r="S7" i="12"/>
  <c r="S7" i="10"/>
</calcChain>
</file>

<file path=xl/comments1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6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7.xml><?xml version="1.0" encoding="utf-8"?>
<comments xmlns="http://schemas.openxmlformats.org/spreadsheetml/2006/main">
  <authors>
    <author>mhaugh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8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<sst xmlns="http://schemas.openxmlformats.org/spreadsheetml/2006/main" count="308" uniqueCount="53">
  <si>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</si>
  <si>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</si>
  <si>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</si>
  <si>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</si>
  <si>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</si>
  <si>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</si>
  <si>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</si>
  <si>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</si>
  <si>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</si>
  <si>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</si>
  <si>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</si>
  <si>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</si>
  <si>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</si>
  <si>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</si>
  <si>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</si>
  <si>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</si>
  <si>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</si>
  <si>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</si>
  <si>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</si>
  <si>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</si>
  <si>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</si>
  <si>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</si>
  <si>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</si>
  <si>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</si>
  <si>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</si>
  <si>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</si>
  <si>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</si>
  <si>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</si>
  <si>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</si>
  <si>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</si>
  <si>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</si>
  <si>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</si>
  <si>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</si>
  <si>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</si>
  <si>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</si>
  <si>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American</t>
  </si>
  <si>
    <t>EARLY - RIESGO NEUTRO</t>
  </si>
  <si>
    <t>1/R</t>
  </si>
  <si>
    <t>RIESGO NEUTRO</t>
  </si>
  <si>
    <t>Call</t>
  </si>
  <si>
    <t>Put</t>
  </si>
  <si>
    <t>Choser</t>
  </si>
  <si>
    <t xml:space="preserve">Early </t>
  </si>
  <si>
    <t>PROBA* CI</t>
  </si>
  <si>
    <t>PROBA</t>
  </si>
  <si>
    <t>C0</t>
  </si>
  <si>
    <t>MAX(EARLY, RIESGO NEUTRO)</t>
  </si>
  <si>
    <t>PUT CALL PARITY</t>
  </si>
  <si>
    <t>Futures</t>
  </si>
  <si>
    <t>risque neutre</t>
  </si>
  <si>
    <t>early</t>
  </si>
  <si>
    <t>early-neutre</t>
  </si>
  <si>
    <t>max(early, neutre)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</si>
</sst>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6" fillId="0" borderId="0" xfId="0" applyFont="1"/>
    <xf numFmtId="0" fontId="3" fillId="0" borderId="0" xfId="4" applyFill="1" applyAlignment="1">
      <alignment horizontal="right"/>
    </xf>
    <xf numFmtId="2" fontId="3" fillId="0" borderId="0" xfId="4" applyNumberFormat="1" applyFont="1" applyFill="1"/>
    <xf numFmtId="0" fontId="3" fillId="7" borderId="0" xfId="4" applyFill="1" applyAlignment="1">
      <alignment horizontal="right"/>
    </xf>
    <xf numFmtId="0" fontId="0" fillId="7" borderId="0" xfId="0" applyFill="1"/>
    <xf numFmtId="0" fontId="1" fillId="7" borderId="0" xfId="1" applyFill="1"/>
    <xf numFmtId="167" fontId="1" fillId="7" borderId="0" xfId="1" applyNumberFormat="1" applyFont="1" applyFill="1" applyBorder="1" applyAlignment="1">
      <alignment horizontal="center"/>
    </xf>
    <xf numFmtId="2" fontId="3" fillId="7" borderId="0" xfId="4" applyNumberFormat="1" applyFont="1" applyFill="1"/>
    <xf numFmtId="168" fontId="1" fillId="7" borderId="17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0" fontId="0" fillId="0" borderId="0" xfId="0" applyFill="1"/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showGridLines="0" topLeftCell="A2" zoomScaleNormal="100" workbookViewId="0">
      <selection activeCell="A3" sqref="A3:B4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2.710937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9" t="s">
        <v>0</v>
      </c>
      <c r="B1" s="70"/>
      <c r="E1" s="2"/>
      <c r="G1" s="71" t="s">
        <v>1</v>
      </c>
      <c r="H1" s="72"/>
    </row>
    <row r="2" spans="1:8" ht="13.5" thickBot="1" x14ac:dyDescent="0.25">
      <c r="G2" s="5" t="s">
        <v>3</v>
      </c>
      <c r="H2" s="6">
        <v>110</v>
      </c>
    </row>
    <row r="3" spans="1:8" x14ac:dyDescent="0.2">
      <c r="A3" s="3" t="s">
        <v>2</v>
      </c>
      <c r="B3" s="4">
        <v>100</v>
      </c>
      <c r="D3" s="9"/>
    </row>
    <row r="4" spans="1:8" ht="15" x14ac:dyDescent="0.25">
      <c r="A4" s="7" t="s">
        <v>4</v>
      </c>
      <c r="B4" s="8">
        <v>0.25</v>
      </c>
      <c r="D4" s="9"/>
    </row>
    <row r="5" spans="1:8" ht="15" x14ac:dyDescent="0.25">
      <c r="A5" s="7" t="s">
        <v>5</v>
      </c>
      <c r="B5" s="10">
        <v>0.3</v>
      </c>
      <c r="D5" s="12"/>
    </row>
    <row r="6" spans="1:8" x14ac:dyDescent="0.2">
      <c r="A6" s="7" t="s">
        <v>6</v>
      </c>
      <c r="B6" s="11">
        <v>15</v>
      </c>
      <c r="D6" s="12"/>
    </row>
    <row r="7" spans="1:8" ht="15.75" thickBot="1" x14ac:dyDescent="0.3">
      <c r="A7" s="7" t="s">
        <v>7</v>
      </c>
      <c r="B7" s="8">
        <f>EXP(0.02*B4/B6)</f>
        <v>1.0003333888950623</v>
      </c>
    </row>
    <row r="8" spans="1:8" x14ac:dyDescent="0.2">
      <c r="A8" s="13" t="s">
        <v>8</v>
      </c>
      <c r="B8" s="14">
        <f xml:space="preserve"> EXP(B5*SQRT(B4/B6))</f>
        <v>1.0394896104013376</v>
      </c>
      <c r="G8" s="17"/>
    </row>
    <row r="9" spans="1:8" x14ac:dyDescent="0.2">
      <c r="A9" s="15" t="s">
        <v>9</v>
      </c>
      <c r="B9" s="16">
        <f>1/B8</f>
        <v>0.96201057710803761</v>
      </c>
      <c r="G9" s="17"/>
    </row>
    <row r="10" spans="1:8" x14ac:dyDescent="0.2">
      <c r="A10" s="15" t="s">
        <v>10</v>
      </c>
      <c r="B10" s="18">
        <f>(B7 - B9) / (B8 - B9)</f>
        <v>0.49462170806845446</v>
      </c>
      <c r="D10" s="21"/>
      <c r="F10" s="17"/>
    </row>
    <row r="11" spans="1:8" ht="13.5" thickBot="1" x14ac:dyDescent="0.25">
      <c r="A11" s="19" t="s">
        <v>11</v>
      </c>
      <c r="B11" s="20">
        <f>1 - B10</f>
        <v>0.50537829193154549</v>
      </c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3" t="s">
        <v>12</v>
      </c>
      <c r="C13" s="74"/>
      <c r="D13" s="23"/>
      <c r="E13" s="24"/>
      <c r="F13" s="22"/>
      <c r="G13" s="22"/>
    </row>
    <row r="14" spans="1:8" x14ac:dyDescent="0.2">
      <c r="A14" s="22"/>
      <c r="B14" s="25"/>
      <c r="C14" s="26"/>
      <c r="D14" s="26"/>
      <c r="E14" s="27">
        <f>B3 * (B8 ^ (3)) * (B9 ^ (0))</f>
        <v>112.32087004496374</v>
      </c>
      <c r="F14" s="22"/>
      <c r="G14" s="22"/>
    </row>
    <row r="15" spans="1:8" x14ac:dyDescent="0.2">
      <c r="A15" s="22"/>
      <c r="B15" s="25"/>
      <c r="C15" s="26"/>
      <c r="D15" s="26">
        <f>B3 * (B8 ^ (2)) * (B9 ^ (0))</f>
        <v>108.05386501323247</v>
      </c>
      <c r="E15" s="27">
        <f>B3 * (B8 ^ (2)) * (B9 ^ (1))</f>
        <v>103.94896104013377</v>
      </c>
      <c r="F15" s="22"/>
      <c r="G15" s="22"/>
    </row>
    <row r="16" spans="1:8" x14ac:dyDescent="0.2">
      <c r="A16" s="22"/>
      <c r="B16" s="25"/>
      <c r="C16" s="26">
        <f>B3 * (B8 ^ (1)) * (B9 ^ (0))</f>
        <v>103.94896104013375</v>
      </c>
      <c r="D16" s="26">
        <f>B3 * (B8 ^ (1)) * (B9 ^ (1))</f>
        <v>99.999999999999986</v>
      </c>
      <c r="E16" s="27">
        <f>B3 * (B8 ^ (1)) * (B9 ^ (2))</f>
        <v>96.201057710803752</v>
      </c>
      <c r="F16" s="22"/>
      <c r="G16" s="22"/>
    </row>
    <row r="17" spans="1:7" x14ac:dyDescent="0.2">
      <c r="A17" s="22"/>
      <c r="B17" s="25">
        <f>B3 * (B8 ^ (0)) * (B9 ^ (0))</f>
        <v>100</v>
      </c>
      <c r="C17" s="26">
        <f>B3 * (B8 ^ (0)) * (B9 ^ (1))</f>
        <v>96.201057710803767</v>
      </c>
      <c r="D17" s="26">
        <f>B3 * (B8 ^ (0)) * (B9 ^ (2))</f>
        <v>92.546435046773951</v>
      </c>
      <c r="E17" s="27">
        <f>B3 * (B8 ^ (0)) * (B9 ^ (3))</f>
        <v>89.030649388638523</v>
      </c>
      <c r="F17" s="22"/>
      <c r="G17" s="28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3" t="s">
        <v>17</v>
      </c>
      <c r="C22" s="74"/>
      <c r="D22" s="23"/>
      <c r="E22" s="24"/>
      <c r="F22" s="22"/>
      <c r="G22" s="22"/>
    </row>
    <row r="23" spans="1:7" x14ac:dyDescent="0.2">
      <c r="A23" s="22"/>
      <c r="B23" s="25"/>
      <c r="C23" s="26"/>
      <c r="D23" s="26"/>
      <c r="E23" s="27">
        <f>MAX($E$14 - $H$2, 0)</f>
        <v>2.3208700449637405</v>
      </c>
      <c r="F23" s="22"/>
      <c r="G23" s="22"/>
    </row>
    <row r="24" spans="1:7" x14ac:dyDescent="0.2">
      <c r="A24" s="22"/>
      <c r="B24" s="25"/>
      <c r="C24" s="26"/>
      <c r="D24" s="26">
        <f xml:space="preserve"> ($B$10 *$E$23 + $B$11 *$E$24)/$B$7</f>
        <v>1.1475701187109923</v>
      </c>
      <c r="E24" s="27">
        <f>MAX($E$15 - $H$2, 0)</f>
        <v>0</v>
      </c>
      <c r="F24" s="22"/>
      <c r="G24" s="22"/>
    </row>
    <row r="25" spans="1:7" x14ac:dyDescent="0.2">
      <c r="A25" s="22"/>
      <c r="B25" s="25"/>
      <c r="C25" s="26">
        <f>($B$10 *$D$24 + $B$11 *$D$25)/$B$7</f>
        <v>0.56742391941162551</v>
      </c>
      <c r="D25" s="26">
        <f xml:space="preserve"> ($B$10 *$E$24 + $B$11 *$E$25)/$B$7</f>
        <v>0</v>
      </c>
      <c r="E25" s="27">
        <f>MAX($E$16 - $H$2, 0)</f>
        <v>0</v>
      </c>
      <c r="F25" s="22"/>
      <c r="G25" s="22"/>
    </row>
    <row r="26" spans="1:7" x14ac:dyDescent="0.2">
      <c r="A26" s="22"/>
      <c r="B26" s="25">
        <f xml:space="preserve"> ($B$10 *$C$25 + $B$11 *$C$26)/$B$7</f>
        <v>0.28056665041270284</v>
      </c>
      <c r="C26" s="26">
        <f xml:space="preserve"> ($B$10 *$D$25 + $B$11 *$D$26)/$B$7</f>
        <v>0</v>
      </c>
      <c r="D26" s="26">
        <f xml:space="preserve"> ($B$10 *$E$25 + $B$11 *$E$26)/$B$7</f>
        <v>0</v>
      </c>
      <c r="E26" s="27">
        <f>MAX($E$17 - $H$2, 0)</f>
        <v>0</v>
      </c>
      <c r="F26" s="22"/>
      <c r="G26" s="28"/>
    </row>
    <row r="27" spans="1:7" x14ac:dyDescent="0.2">
      <c r="A27" s="22"/>
      <c r="B27" s="25"/>
      <c r="C27" s="26"/>
      <c r="D27" s="26"/>
      <c r="E27" s="27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"/>
  <sheetViews>
    <sheetView topLeftCell="A77" zoomScale="60" zoomScaleNormal="60" workbookViewId="0">
      <selection activeCell="I87" sqref="I87"/>
    </sheetView>
  </sheetViews>
  <sheetFormatPr baseColWidth="10" defaultRowHeight="15" x14ac:dyDescent="0.25"/>
  <sheetData>
    <row r="1" spans="1:17" ht="15.75" thickBot="1" x14ac:dyDescent="0.3">
      <c r="A1" s="69" t="s">
        <v>0</v>
      </c>
      <c r="B1" s="70"/>
      <c r="F1" s="69" t="s">
        <v>1</v>
      </c>
      <c r="G1" s="70"/>
    </row>
    <row r="2" spans="1:17" x14ac:dyDescent="0.25">
      <c r="A2" s="3" t="s">
        <v>2</v>
      </c>
      <c r="B2" s="4">
        <v>100</v>
      </c>
      <c r="F2" s="50" t="s">
        <v>20</v>
      </c>
      <c r="G2" s="42">
        <f>1</f>
        <v>1</v>
      </c>
    </row>
    <row r="3" spans="1:17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17" x14ac:dyDescent="0.25">
      <c r="A4" s="7" t="s">
        <v>5</v>
      </c>
      <c r="B4" s="10">
        <v>0.3</v>
      </c>
    </row>
    <row r="5" spans="1:17" x14ac:dyDescent="0.25">
      <c r="A5" s="7" t="s">
        <v>6</v>
      </c>
      <c r="B5" s="11">
        <v>15</v>
      </c>
    </row>
    <row r="6" spans="1:17" x14ac:dyDescent="0.25">
      <c r="A6" s="7" t="s">
        <v>22</v>
      </c>
      <c r="B6" s="46">
        <v>0.02</v>
      </c>
    </row>
    <row r="7" spans="1:17" ht="15.75" thickBot="1" x14ac:dyDescent="0.3">
      <c r="A7" s="47" t="s">
        <v>23</v>
      </c>
      <c r="B7" s="48">
        <v>0.01</v>
      </c>
    </row>
    <row r="8" spans="1:17" x14ac:dyDescent="0.25">
      <c r="A8" s="13" t="s">
        <v>8</v>
      </c>
      <c r="B8" s="14">
        <f>EXP(B4*SQRT(B3/B5))</f>
        <v>1.0394896104013376</v>
      </c>
    </row>
    <row r="9" spans="1:17" x14ac:dyDescent="0.25">
      <c r="A9" s="15" t="s">
        <v>9</v>
      </c>
      <c r="B9" s="16">
        <f>1/B8</f>
        <v>0.96201057710803761</v>
      </c>
    </row>
    <row r="10" spans="1:17" x14ac:dyDescent="0.25">
      <c r="A10" s="15" t="s">
        <v>10</v>
      </c>
      <c r="B10" s="18">
        <f>(EXP((B6 - B7) * B3/B5) - B9) / (B8 - B9)</f>
        <v>0.49247005062451049</v>
      </c>
    </row>
    <row r="11" spans="1:17" ht="15.75" thickBot="1" x14ac:dyDescent="0.3">
      <c r="A11" s="19" t="s">
        <v>11</v>
      </c>
      <c r="B11" s="20">
        <f>1 - B10</f>
        <v>0.50752994937548945</v>
      </c>
    </row>
    <row r="12" spans="1:17" x14ac:dyDescent="0.25">
      <c r="A12" s="15" t="s">
        <v>7</v>
      </c>
      <c r="B12">
        <f>EXP($B$6*$B$3/$B$5)</f>
        <v>1.0003333888950623</v>
      </c>
    </row>
    <row r="13" spans="1:17" x14ac:dyDescent="0.25">
      <c r="A13" s="15" t="s">
        <v>37</v>
      </c>
      <c r="B13">
        <f>1 / $B$12</f>
        <v>0.9996667222160498</v>
      </c>
    </row>
    <row r="14" spans="1:17" x14ac:dyDescent="0.25">
      <c r="A14" s="53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</row>
    <row r="15" spans="1:17" x14ac:dyDescent="0.25">
      <c r="A15" s="49"/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61">
        <v>11</v>
      </c>
      <c r="N15" s="61">
        <v>12</v>
      </c>
      <c r="O15" s="61">
        <v>13</v>
      </c>
      <c r="P15" s="61">
        <v>14</v>
      </c>
      <c r="Q15" s="61">
        <v>15</v>
      </c>
    </row>
    <row r="16" spans="1:17" x14ac:dyDescent="0.25">
      <c r="A16">
        <v>15</v>
      </c>
      <c r="Q16">
        <f>P17*$B$8</f>
        <v>178.77315075823685</v>
      </c>
    </row>
    <row r="17" spans="1:17" x14ac:dyDescent="0.25">
      <c r="A17">
        <v>14</v>
      </c>
      <c r="P17">
        <f>O18*$B$8</f>
        <v>171.98166193235366</v>
      </c>
      <c r="Q17">
        <f t="shared" ref="Q17:Q30" si="0">P18*$B$8</f>
        <v>165.44817784754298</v>
      </c>
    </row>
    <row r="18" spans="1:17" x14ac:dyDescent="0.25">
      <c r="A18">
        <v>13</v>
      </c>
      <c r="O18">
        <f>N19*$B$8</f>
        <v>165.44817784754298</v>
      </c>
      <c r="P18">
        <f t="shared" ref="P18:P30" si="1">O19*$B$8</f>
        <v>159.16289705258808</v>
      </c>
      <c r="Q18">
        <f t="shared" si="0"/>
        <v>153.11639044774745</v>
      </c>
    </row>
    <row r="19" spans="1:17" x14ac:dyDescent="0.25">
      <c r="A19">
        <v>12</v>
      </c>
      <c r="N19">
        <f>M20*$B$8</f>
        <v>159.16289705258808</v>
      </c>
      <c r="O19">
        <f t="shared" ref="O19:O30" si="2">N20*$B$8</f>
        <v>153.11639044774745</v>
      </c>
      <c r="P19">
        <f t="shared" si="1"/>
        <v>147.29958713933715</v>
      </c>
      <c r="Q19">
        <f t="shared" si="0"/>
        <v>141.70376083168938</v>
      </c>
    </row>
    <row r="20" spans="1:17" x14ac:dyDescent="0.25">
      <c r="A20">
        <v>11</v>
      </c>
      <c r="M20">
        <f>L21*$B$8</f>
        <v>153.11639044774745</v>
      </c>
      <c r="N20">
        <f t="shared" ref="N20:N30" si="3">M21*$B$8</f>
        <v>147.29958713933715</v>
      </c>
      <c r="O20">
        <f t="shared" si="2"/>
        <v>141.70376083168941</v>
      </c>
      <c r="P20">
        <f t="shared" si="1"/>
        <v>136.32051673607285</v>
      </c>
      <c r="Q20">
        <f t="shared" si="0"/>
        <v>131.14177897693534</v>
      </c>
    </row>
    <row r="21" spans="1:17" x14ac:dyDescent="0.25">
      <c r="A21" s="49">
        <v>10</v>
      </c>
      <c r="B21" s="54"/>
      <c r="C21" s="55" t="str">
        <f t="shared" ref="C21:K29" ca="1" si="4">IF($A21&lt;C$15,$B$9*OFFSET(C21,0,-1),IF($A21=C$15,$B$8*OFFSET(C21,1,-1),""))</f>
        <v/>
      </c>
      <c r="D21" s="55" t="str">
        <f t="shared" ca="1" si="4"/>
        <v/>
      </c>
      <c r="E21" s="55" t="str">
        <f t="shared" ca="1" si="4"/>
        <v/>
      </c>
      <c r="F21" s="55" t="str">
        <f t="shared" ca="1" si="4"/>
        <v/>
      </c>
      <c r="G21" s="55" t="str">
        <f t="shared" ca="1" si="4"/>
        <v/>
      </c>
      <c r="H21" s="55" t="str">
        <f t="shared" ca="1" si="4"/>
        <v/>
      </c>
      <c r="I21" s="55" t="str">
        <f t="shared" ca="1" si="4"/>
        <v/>
      </c>
      <c r="J21" s="55" t="str">
        <f t="shared" ca="1" si="4"/>
        <v/>
      </c>
      <c r="K21" s="55" t="str">
        <f t="shared" ca="1" si="4"/>
        <v/>
      </c>
      <c r="L21" s="55">
        <f>$B$8*K22</f>
        <v>147.29958713933715</v>
      </c>
      <c r="M21">
        <f t="shared" ref="M21:M30" si="5">L22*$B$8</f>
        <v>141.70376083168941</v>
      </c>
      <c r="N21">
        <f t="shared" si="3"/>
        <v>136.32051673607288</v>
      </c>
      <c r="O21">
        <f t="shared" si="2"/>
        <v>131.14177897693534</v>
      </c>
      <c r="P21">
        <f t="shared" si="1"/>
        <v>126.15977847657628</v>
      </c>
      <c r="Q21">
        <f t="shared" si="0"/>
        <v>121.36704130007332</v>
      </c>
    </row>
    <row r="22" spans="1:17" x14ac:dyDescent="0.25">
      <c r="A22" s="49">
        <v>9</v>
      </c>
      <c r="B22" s="54"/>
      <c r="C22" s="55" t="str">
        <f t="shared" ca="1" si="4"/>
        <v/>
      </c>
      <c r="D22" s="55" t="str">
        <f t="shared" ca="1" si="4"/>
        <v/>
      </c>
      <c r="E22" s="55" t="str">
        <f t="shared" ca="1" si="4"/>
        <v/>
      </c>
      <c r="F22" s="55" t="str">
        <f t="shared" ca="1" si="4"/>
        <v/>
      </c>
      <c r="G22" s="55" t="str">
        <f t="shared" ca="1" si="4"/>
        <v/>
      </c>
      <c r="H22" s="55" t="str">
        <f t="shared" ca="1" si="4"/>
        <v/>
      </c>
      <c r="I22" s="55" t="str">
        <f t="shared" ca="1" si="4"/>
        <v/>
      </c>
      <c r="J22" s="55" t="str">
        <f t="shared" ca="1" si="4"/>
        <v/>
      </c>
      <c r="K22" s="55">
        <f>$B$8*J23</f>
        <v>141.70376083168941</v>
      </c>
      <c r="L22" s="55">
        <f t="shared" ref="L22:L30" si="6">$B$8*K23</f>
        <v>136.32051673607288</v>
      </c>
      <c r="M22">
        <f t="shared" si="5"/>
        <v>131.14177897693537</v>
      </c>
      <c r="N22">
        <f t="shared" si="3"/>
        <v>126.15977847657629</v>
      </c>
      <c r="O22">
        <f t="shared" si="2"/>
        <v>121.36704130007334</v>
      </c>
      <c r="P22">
        <f t="shared" si="1"/>
        <v>116.75637744297858</v>
      </c>
      <c r="Q22">
        <f t="shared" si="0"/>
        <v>112.32087004496367</v>
      </c>
    </row>
    <row r="23" spans="1:17" x14ac:dyDescent="0.25">
      <c r="A23" s="49">
        <v>8</v>
      </c>
      <c r="B23" s="54"/>
      <c r="C23" s="55" t="str">
        <f t="shared" ca="1" si="4"/>
        <v/>
      </c>
      <c r="D23" s="55" t="str">
        <f t="shared" ca="1" si="4"/>
        <v/>
      </c>
      <c r="E23" s="55" t="str">
        <f t="shared" ca="1" si="4"/>
        <v/>
      </c>
      <c r="F23" s="55" t="str">
        <f t="shared" ca="1" si="4"/>
        <v/>
      </c>
      <c r="G23" s="55" t="str">
        <f t="shared" ca="1" si="4"/>
        <v/>
      </c>
      <c r="H23" s="55" t="str">
        <f t="shared" ca="1" si="4"/>
        <v/>
      </c>
      <c r="I23" s="55" t="str">
        <f t="shared" ca="1" si="4"/>
        <v/>
      </c>
      <c r="J23" s="55">
        <f>$B$8*I24</f>
        <v>136.32051673607288</v>
      </c>
      <c r="K23" s="55">
        <f t="shared" ref="K23:K30" si="7">$B$8*J24</f>
        <v>131.14177897693537</v>
      </c>
      <c r="L23" s="55">
        <f t="shared" si="6"/>
        <v>126.15977847657631</v>
      </c>
      <c r="M23">
        <f t="shared" si="5"/>
        <v>121.36704130007335</v>
      </c>
      <c r="N23">
        <f t="shared" si="3"/>
        <v>116.75637744297859</v>
      </c>
      <c r="O23">
        <f t="shared" si="2"/>
        <v>112.32087004496368</v>
      </c>
      <c r="P23">
        <f t="shared" si="1"/>
        <v>108.0538650132324</v>
      </c>
      <c r="Q23">
        <f t="shared" si="0"/>
        <v>103.9489610401337</v>
      </c>
    </row>
    <row r="24" spans="1:17" x14ac:dyDescent="0.25">
      <c r="A24" s="49">
        <v>7</v>
      </c>
      <c r="B24" s="54"/>
      <c r="C24" s="55" t="str">
        <f t="shared" ca="1" si="4"/>
        <v/>
      </c>
      <c r="D24" s="55" t="str">
        <f t="shared" ca="1" si="4"/>
        <v/>
      </c>
      <c r="E24" s="55" t="str">
        <f t="shared" ca="1" si="4"/>
        <v/>
      </c>
      <c r="F24" s="55" t="str">
        <f t="shared" ca="1" si="4"/>
        <v/>
      </c>
      <c r="G24" s="55" t="str">
        <f t="shared" ca="1" si="4"/>
        <v/>
      </c>
      <c r="H24" s="55" t="str">
        <f t="shared" ca="1" si="4"/>
        <v/>
      </c>
      <c r="I24" s="55">
        <f>$B$8*H25</f>
        <v>131.14177897693537</v>
      </c>
      <c r="J24" s="55">
        <f t="shared" ref="J24:J30" si="8">$B$8*I25</f>
        <v>126.15977847657631</v>
      </c>
      <c r="K24" s="55">
        <f t="shared" si="7"/>
        <v>121.36704130007337</v>
      </c>
      <c r="L24" s="55">
        <f t="shared" si="6"/>
        <v>116.7563774429786</v>
      </c>
      <c r="M24">
        <f t="shared" si="5"/>
        <v>112.3208700449637</v>
      </c>
      <c r="N24">
        <f t="shared" si="3"/>
        <v>108.05386501323241</v>
      </c>
      <c r="O24">
        <f t="shared" si="2"/>
        <v>103.9489610401337</v>
      </c>
      <c r="P24">
        <f t="shared" si="1"/>
        <v>99.999999999999943</v>
      </c>
      <c r="Q24">
        <f t="shared" si="0"/>
        <v>96.20105771080371</v>
      </c>
    </row>
    <row r="25" spans="1:17" x14ac:dyDescent="0.25">
      <c r="A25" s="49">
        <v>6</v>
      </c>
      <c r="B25" s="54"/>
      <c r="C25" s="55" t="str">
        <f t="shared" ca="1" si="4"/>
        <v/>
      </c>
      <c r="D25" s="55" t="str">
        <f t="shared" ca="1" si="4"/>
        <v/>
      </c>
      <c r="E25" s="55" t="str">
        <f t="shared" ca="1" si="4"/>
        <v/>
      </c>
      <c r="F25" s="55" t="str">
        <f t="shared" ca="1" si="4"/>
        <v/>
      </c>
      <c r="G25" s="55" t="str">
        <f t="shared" ca="1" si="4"/>
        <v/>
      </c>
      <c r="H25" s="55">
        <f>G26*$B$8</f>
        <v>126.15977847657631</v>
      </c>
      <c r="I25" s="55">
        <f t="shared" ref="I25:I30" si="9">$B$8*H26</f>
        <v>121.36704130007337</v>
      </c>
      <c r="J25" s="55">
        <f t="shared" si="8"/>
        <v>116.75637744297862</v>
      </c>
      <c r="K25" s="55">
        <f t="shared" si="7"/>
        <v>112.32087004496371</v>
      </c>
      <c r="L25" s="55">
        <f t="shared" si="6"/>
        <v>108.05386501323242</v>
      </c>
      <c r="M25">
        <f t="shared" si="5"/>
        <v>103.94896104013371</v>
      </c>
      <c r="N25">
        <f t="shared" si="3"/>
        <v>99.999999999999943</v>
      </c>
      <c r="O25">
        <f t="shared" si="2"/>
        <v>96.20105771080371</v>
      </c>
      <c r="P25">
        <f t="shared" si="1"/>
        <v>92.546435046773908</v>
      </c>
      <c r="Q25">
        <f t="shared" si="0"/>
        <v>89.03064938863848</v>
      </c>
    </row>
    <row r="26" spans="1:17" x14ac:dyDescent="0.25">
      <c r="A26" s="49">
        <v>5</v>
      </c>
      <c r="B26" s="49"/>
      <c r="C26" s="55" t="str">
        <f t="shared" ca="1" si="4"/>
        <v/>
      </c>
      <c r="D26" s="55" t="str">
        <f t="shared" ca="1" si="4"/>
        <v/>
      </c>
      <c r="E26" s="55" t="str">
        <f t="shared" ca="1" si="4"/>
        <v/>
      </c>
      <c r="F26" s="55" t="str">
        <f t="shared" ca="1" si="4"/>
        <v/>
      </c>
      <c r="G26" s="55">
        <f>F27*$B$8</f>
        <v>121.36704130007337</v>
      </c>
      <c r="H26" s="55">
        <f t="shared" ref="H26:H30" si="10">G27*$B$8</f>
        <v>116.75637744297862</v>
      </c>
      <c r="I26" s="55">
        <f t="shared" si="9"/>
        <v>112.32087004496373</v>
      </c>
      <c r="J26" s="55">
        <f t="shared" si="8"/>
        <v>108.05386501323244</v>
      </c>
      <c r="K26" s="55">
        <f t="shared" si="7"/>
        <v>103.94896104013372</v>
      </c>
      <c r="L26" s="55">
        <f t="shared" si="6"/>
        <v>99.999999999999957</v>
      </c>
      <c r="M26">
        <f t="shared" si="5"/>
        <v>96.20105771080371</v>
      </c>
      <c r="N26">
        <f t="shared" si="3"/>
        <v>92.546435046773908</v>
      </c>
      <c r="O26">
        <f t="shared" si="2"/>
        <v>89.030649388638494</v>
      </c>
      <c r="P26">
        <f t="shared" si="1"/>
        <v>85.648426398667468</v>
      </c>
      <c r="Q26">
        <f t="shared" si="0"/>
        <v>82.394692108177381</v>
      </c>
    </row>
    <row r="27" spans="1:17" x14ac:dyDescent="0.25">
      <c r="A27" s="49">
        <v>4</v>
      </c>
      <c r="B27" s="49"/>
      <c r="C27" s="55" t="str">
        <f t="shared" ca="1" si="4"/>
        <v/>
      </c>
      <c r="D27" s="55" t="str">
        <f t="shared" ca="1" si="4"/>
        <v/>
      </c>
      <c r="E27" s="55" t="str">
        <f t="shared" ca="1" si="4"/>
        <v/>
      </c>
      <c r="F27" s="55">
        <f>E28*$B$8</f>
        <v>116.75637744297862</v>
      </c>
      <c r="G27" s="55">
        <f t="shared" ref="G27:G30" si="11">F28*$B$8</f>
        <v>112.32087004496373</v>
      </c>
      <c r="H27" s="55">
        <f t="shared" si="10"/>
        <v>108.05386501323245</v>
      </c>
      <c r="I27" s="55">
        <f t="shared" si="9"/>
        <v>103.94896104013374</v>
      </c>
      <c r="J27" s="55">
        <f t="shared" si="8"/>
        <v>99.999999999999972</v>
      </c>
      <c r="K27" s="55">
        <f t="shared" si="7"/>
        <v>96.201057710803724</v>
      </c>
      <c r="L27" s="55">
        <f t="shared" si="6"/>
        <v>92.546435046773908</v>
      </c>
      <c r="M27">
        <f t="shared" si="5"/>
        <v>89.030649388638494</v>
      </c>
      <c r="N27">
        <f t="shared" si="3"/>
        <v>85.648426398667482</v>
      </c>
      <c r="O27">
        <f t="shared" si="2"/>
        <v>82.394692108177381</v>
      </c>
      <c r="P27">
        <f t="shared" si="1"/>
        <v>79.264565305626803</v>
      </c>
      <c r="Q27">
        <f t="shared" si="0"/>
        <v>76.253350213883763</v>
      </c>
    </row>
    <row r="28" spans="1:17" x14ac:dyDescent="0.25">
      <c r="A28" s="49">
        <v>3</v>
      </c>
      <c r="B28" s="49"/>
      <c r="C28" s="55" t="str">
        <f t="shared" ca="1" si="4"/>
        <v/>
      </c>
      <c r="D28" s="55" t="str">
        <f t="shared" ca="1" si="4"/>
        <v/>
      </c>
      <c r="E28" s="55">
        <f>D29*$B$8</f>
        <v>112.32087004496373</v>
      </c>
      <c r="F28" s="55">
        <f t="shared" ref="F28:F30" si="12">E29*$B$8</f>
        <v>108.05386501323245</v>
      </c>
      <c r="G28" s="55">
        <f t="shared" si="11"/>
        <v>103.94896104013375</v>
      </c>
      <c r="H28" s="55">
        <f t="shared" si="10"/>
        <v>99.999999999999986</v>
      </c>
      <c r="I28" s="55">
        <f t="shared" si="9"/>
        <v>96.201057710803738</v>
      </c>
      <c r="J28" s="55">
        <f t="shared" si="8"/>
        <v>92.546435046773922</v>
      </c>
      <c r="K28" s="55">
        <f t="shared" si="7"/>
        <v>89.030649388638494</v>
      </c>
      <c r="L28" s="55">
        <f t="shared" si="6"/>
        <v>85.648426398667482</v>
      </c>
      <c r="M28">
        <f t="shared" si="5"/>
        <v>82.394692108177395</v>
      </c>
      <c r="N28">
        <f t="shared" si="3"/>
        <v>79.264565305626803</v>
      </c>
      <c r="O28">
        <f t="shared" si="2"/>
        <v>76.253350213883778</v>
      </c>
      <c r="P28">
        <f t="shared" si="1"/>
        <v>73.356529445679627</v>
      </c>
      <c r="Q28">
        <f t="shared" si="0"/>
        <v>70.56975722668102</v>
      </c>
    </row>
    <row r="29" spans="1:17" x14ac:dyDescent="0.25">
      <c r="A29" s="49">
        <v>2</v>
      </c>
      <c r="B29" s="49"/>
      <c r="C29" s="55" t="str">
        <f t="shared" ca="1" si="4"/>
        <v/>
      </c>
      <c r="D29" s="55">
        <f>C30*$B$8</f>
        <v>108.05386501323245</v>
      </c>
      <c r="E29" s="55">
        <f t="shared" ref="E29:E30" si="13">D30*$B$8</f>
        <v>103.94896104013375</v>
      </c>
      <c r="F29" s="55">
        <f>E30*$B$8</f>
        <v>100</v>
      </c>
      <c r="G29" s="55">
        <f t="shared" si="11"/>
        <v>96.201057710803752</v>
      </c>
      <c r="H29" s="55">
        <f t="shared" si="10"/>
        <v>92.546435046773937</v>
      </c>
      <c r="I29" s="55">
        <f t="shared" si="9"/>
        <v>89.030649388638508</v>
      </c>
      <c r="J29" s="55">
        <f t="shared" si="8"/>
        <v>85.648426398667482</v>
      </c>
      <c r="K29" s="55">
        <f t="shared" si="7"/>
        <v>82.394692108177395</v>
      </c>
      <c r="L29" s="55">
        <f t="shared" si="6"/>
        <v>79.264565305626817</v>
      </c>
      <c r="M29">
        <f t="shared" si="5"/>
        <v>76.253350213883778</v>
      </c>
      <c r="N29">
        <f t="shared" si="3"/>
        <v>73.356529445679641</v>
      </c>
      <c r="O29">
        <f t="shared" si="2"/>
        <v>70.56975722668102</v>
      </c>
      <c r="P29">
        <f>O30*$B$8</f>
        <v>67.888852876013516</v>
      </c>
      <c r="Q29">
        <f t="shared" si="0"/>
        <v>65.309794534456429</v>
      </c>
    </row>
    <row r="30" spans="1:17" x14ac:dyDescent="0.25">
      <c r="A30" s="49">
        <v>1</v>
      </c>
      <c r="B30" s="49"/>
      <c r="C30" s="55">
        <f>B31*$B$8</f>
        <v>103.94896104013375</v>
      </c>
      <c r="D30" s="55">
        <f>C31*$B$8</f>
        <v>100</v>
      </c>
      <c r="E30" s="55">
        <f t="shared" si="13"/>
        <v>96.201057710803767</v>
      </c>
      <c r="F30" s="55">
        <f t="shared" si="12"/>
        <v>92.546435046773951</v>
      </c>
      <c r="G30" s="55">
        <f t="shared" si="11"/>
        <v>89.030649388638523</v>
      </c>
      <c r="H30" s="55">
        <f t="shared" si="10"/>
        <v>85.648426398667496</v>
      </c>
      <c r="I30" s="55">
        <f t="shared" si="9"/>
        <v>82.394692108177395</v>
      </c>
      <c r="J30" s="55">
        <f t="shared" si="8"/>
        <v>79.264565305626817</v>
      </c>
      <c r="K30" s="55">
        <f t="shared" si="7"/>
        <v>76.253350213883792</v>
      </c>
      <c r="L30" s="55">
        <f t="shared" si="6"/>
        <v>73.356529445679641</v>
      </c>
      <c r="M30">
        <f t="shared" si="5"/>
        <v>70.569757226681034</v>
      </c>
      <c r="N30">
        <f t="shared" si="3"/>
        <v>67.888852876013516</v>
      </c>
      <c r="O30">
        <f t="shared" si="2"/>
        <v>65.309794534456429</v>
      </c>
      <c r="P30">
        <f t="shared" si="1"/>
        <v>62.828713130899793</v>
      </c>
      <c r="Q30">
        <f t="shared" si="0"/>
        <v>60.441886578012252</v>
      </c>
    </row>
    <row r="31" spans="1:17" x14ac:dyDescent="0.25">
      <c r="A31" s="49">
        <v>0</v>
      </c>
      <c r="B31" s="55">
        <f>$B$2</f>
        <v>100</v>
      </c>
      <c r="C31" s="55">
        <f>B31*$B$9</f>
        <v>96.201057710803767</v>
      </c>
      <c r="D31" s="55">
        <f>C31*$B$9</f>
        <v>92.546435046773965</v>
      </c>
      <c r="E31" s="55">
        <f>D31*$B$9</f>
        <v>89.030649388638537</v>
      </c>
      <c r="F31" s="55">
        <f t="shared" ref="D31:P31" si="14">E31*$B$9</f>
        <v>85.64842639866751</v>
      </c>
      <c r="G31" s="55">
        <f t="shared" si="14"/>
        <v>82.394692108177409</v>
      </c>
      <c r="H31" s="55">
        <f t="shared" si="14"/>
        <v>79.264565305626817</v>
      </c>
      <c r="I31" s="55">
        <f t="shared" si="14"/>
        <v>76.253350213883792</v>
      </c>
      <c r="J31" s="55">
        <f t="shared" si="14"/>
        <v>73.356529445679655</v>
      </c>
      <c r="K31" s="55">
        <f>J31*$B$9</f>
        <v>70.569757226681034</v>
      </c>
      <c r="L31" s="55">
        <f t="shared" si="14"/>
        <v>67.88885287601353</v>
      </c>
      <c r="M31" s="55">
        <f t="shared" si="14"/>
        <v>65.309794534456429</v>
      </c>
      <c r="N31" s="55">
        <f>M31*$B$9</f>
        <v>62.828713130899793</v>
      </c>
      <c r="O31" s="55">
        <f t="shared" si="14"/>
        <v>60.441886578012252</v>
      </c>
      <c r="P31" s="55">
        <f t="shared" si="14"/>
        <v>58.145734188412121</v>
      </c>
      <c r="Q31" s="55">
        <f>P31*$B$9</f>
        <v>55.936811302964898</v>
      </c>
    </row>
    <row r="33" spans="1:17" x14ac:dyDescent="0.25">
      <c r="A33" t="s">
        <v>48</v>
      </c>
    </row>
    <row r="34" spans="1:17" x14ac:dyDescent="0.25">
      <c r="B34">
        <f>0</f>
        <v>0</v>
      </c>
      <c r="C34">
        <f>B34+1</f>
        <v>1</v>
      </c>
      <c r="D34">
        <f t="shared" ref="D34:Q34" si="15">C34+1</f>
        <v>2</v>
      </c>
      <c r="E34">
        <f t="shared" si="15"/>
        <v>3</v>
      </c>
      <c r="F34">
        <f t="shared" si="15"/>
        <v>4</v>
      </c>
      <c r="G34">
        <f t="shared" si="15"/>
        <v>5</v>
      </c>
      <c r="H34">
        <f t="shared" si="15"/>
        <v>6</v>
      </c>
      <c r="I34">
        <f t="shared" si="15"/>
        <v>7</v>
      </c>
      <c r="J34">
        <f t="shared" si="15"/>
        <v>8</v>
      </c>
      <c r="K34">
        <f t="shared" si="15"/>
        <v>9</v>
      </c>
      <c r="L34">
        <f t="shared" si="15"/>
        <v>10</v>
      </c>
      <c r="M34">
        <f t="shared" si="15"/>
        <v>11</v>
      </c>
      <c r="N34">
        <f t="shared" si="15"/>
        <v>12</v>
      </c>
      <c r="O34">
        <f t="shared" si="15"/>
        <v>13</v>
      </c>
      <c r="P34">
        <f t="shared" si="15"/>
        <v>14</v>
      </c>
      <c r="Q34">
        <f t="shared" si="15"/>
        <v>15</v>
      </c>
    </row>
    <row r="35" spans="1:17" x14ac:dyDescent="0.25">
      <c r="A35">
        <f>15</f>
        <v>15</v>
      </c>
      <c r="Q35">
        <f>Q16</f>
        <v>178.77315075823685</v>
      </c>
    </row>
    <row r="36" spans="1:17" x14ac:dyDescent="0.25">
      <c r="A36">
        <f>A35-1</f>
        <v>14</v>
      </c>
      <c r="P36">
        <f>$B$10* Q35 + $B$11*Q36</f>
        <v>172.01032793144262</v>
      </c>
      <c r="Q36">
        <f t="shared" ref="Q36:Q51" si="16">Q17</f>
        <v>165.44817784754298</v>
      </c>
    </row>
    <row r="37" spans="1:17" x14ac:dyDescent="0.25">
      <c r="A37">
        <f>A36-1</f>
        <v>13</v>
      </c>
      <c r="O37">
        <f t="shared" ref="B37:P37" si="17">$B$10* P36 + $B$11*P37</f>
        <v>165.50333643274561</v>
      </c>
      <c r="P37">
        <f t="shared" si="17"/>
        <v>159.18942641281544</v>
      </c>
      <c r="Q37">
        <f t="shared" si="16"/>
        <v>153.11639044774745</v>
      </c>
    </row>
    <row r="38" spans="1:17" x14ac:dyDescent="0.25">
      <c r="A38">
        <f>A37-1</f>
        <v>12</v>
      </c>
      <c r="N38">
        <f t="shared" ref="B38:P38" si="18">$B$10* O37 + $B$11*O38</f>
        <v>159.24249839979279</v>
      </c>
      <c r="O38">
        <f t="shared" si="18"/>
        <v>153.16743775197472</v>
      </c>
      <c r="P38">
        <f t="shared" si="18"/>
        <v>147.32413911646827</v>
      </c>
      <c r="Q38">
        <f t="shared" si="16"/>
        <v>141.70376083168938</v>
      </c>
    </row>
    <row r="39" spans="1:17" x14ac:dyDescent="0.25">
      <c r="A39">
        <f>A38-1</f>
        <v>11</v>
      </c>
      <c r="M39">
        <f t="shared" ref="B39:P39" si="19">$B$10* N38 + $B$11*N39</f>
        <v>153.21850207480634</v>
      </c>
      <c r="N39">
        <f t="shared" si="19"/>
        <v>147.37325534842429</v>
      </c>
      <c r="O39">
        <f t="shared" si="19"/>
        <v>141.75100329193921</v>
      </c>
      <c r="P39">
        <f t="shared" si="19"/>
        <v>136.34323871564121</v>
      </c>
      <c r="Q39">
        <f t="shared" si="16"/>
        <v>131.14177897693534</v>
      </c>
    </row>
    <row r="40" spans="1:17" x14ac:dyDescent="0.25">
      <c r="A40">
        <f>A39-1</f>
        <v>10</v>
      </c>
      <c r="L40">
        <f t="shared" ref="B40:P40" si="20">$B$10* M39 + $B$11*M40</f>
        <v>147.42238795518659</v>
      </c>
      <c r="M40">
        <f t="shared" si="20"/>
        <v>141.79826150230068</v>
      </c>
      <c r="N40">
        <f t="shared" si="20"/>
        <v>136.38869403734583</v>
      </c>
      <c r="O40">
        <f t="shared" si="20"/>
        <v>131.18550018972493</v>
      </c>
      <c r="P40">
        <f t="shared" si="20"/>
        <v>126.18080685863887</v>
      </c>
      <c r="Q40">
        <f t="shared" si="16"/>
        <v>121.36704130007332</v>
      </c>
    </row>
    <row r="41" spans="1:17" x14ac:dyDescent="0.25">
      <c r="A41">
        <f>A40-1</f>
        <v>9</v>
      </c>
      <c r="K41">
        <f t="shared" ref="B41:P41" si="21">$B$10* L40 + $B$11*L41</f>
        <v>141.84553546802465</v>
      </c>
      <c r="L41">
        <f t="shared" si="21"/>
        <v>136.43416451334991</v>
      </c>
      <c r="M41">
        <f t="shared" si="21"/>
        <v>131.22923597868134</v>
      </c>
      <c r="N41">
        <f t="shared" si="21"/>
        <v>126.22287413841551</v>
      </c>
      <c r="O41">
        <f t="shared" si="21"/>
        <v>121.40750372386933</v>
      </c>
      <c r="P41">
        <f t="shared" si="21"/>
        <v>116.77583846092551</v>
      </c>
      <c r="Q41">
        <f t="shared" si="16"/>
        <v>112.32087004496367</v>
      </c>
    </row>
    <row r="42" spans="1:17" x14ac:dyDescent="0.25">
      <c r="A42">
        <f>A41-1</f>
        <v>8</v>
      </c>
      <c r="J42">
        <f t="shared" ref="B42:P42" si="22">$B$10* K41 + $B$11*K42</f>
        <v>136.47965014870573</v>
      </c>
      <c r="K42">
        <f t="shared" si="22"/>
        <v>131.27298634866415</v>
      </c>
      <c r="L42">
        <f t="shared" si="22"/>
        <v>126.26495544295608</v>
      </c>
      <c r="M42">
        <f t="shared" si="22"/>
        <v>121.44797963738807</v>
      </c>
      <c r="N42">
        <f t="shared" si="22"/>
        <v>116.81477022867995</v>
      </c>
      <c r="O42">
        <f t="shared" si="22"/>
        <v>112.35831657572038</v>
      </c>
      <c r="P42">
        <f t="shared" si="22"/>
        <v>108.07187549156609</v>
      </c>
      <c r="Q42">
        <f t="shared" si="16"/>
        <v>103.9489610401337</v>
      </c>
    </row>
    <row r="43" spans="1:17" x14ac:dyDescent="0.25">
      <c r="A43">
        <f>A42-1</f>
        <v>7</v>
      </c>
      <c r="I43">
        <f t="shared" ref="B43:P43" si="23">$B$10* J42 + $B$11*J43</f>
        <v>131.31675130453442</v>
      </c>
      <c r="J43">
        <f t="shared" si="23"/>
        <v>126.30705077693628</v>
      </c>
      <c r="K43">
        <f t="shared" si="23"/>
        <v>121.48846904512691</v>
      </c>
      <c r="L43">
        <f t="shared" si="23"/>
        <v>116.85371497585342</v>
      </c>
      <c r="M43">
        <f t="shared" si="23"/>
        <v>112.3957755907346</v>
      </c>
      <c r="N43">
        <f t="shared" si="23"/>
        <v>108.10790545472352</v>
      </c>
      <c r="O43">
        <f t="shared" si="23"/>
        <v>103.98361646939773</v>
      </c>
      <c r="P43">
        <f t="shared" si="23"/>
        <v>100.01666805563266</v>
      </c>
      <c r="Q43">
        <f t="shared" si="16"/>
        <v>96.20105771080371</v>
      </c>
    </row>
    <row r="44" spans="1:17" x14ac:dyDescent="0.25">
      <c r="A44">
        <f>A43-1</f>
        <v>6</v>
      </c>
      <c r="H44">
        <f t="shared" ref="B44:P44" si="24">$B$10* I43 + $B$11*I44</f>
        <v>126.34916014503335</v>
      </c>
      <c r="I44">
        <f t="shared" si="24"/>
        <v>121.52897195158465</v>
      </c>
      <c r="J44">
        <f t="shared" si="24"/>
        <v>116.89267270677314</v>
      </c>
      <c r="K44">
        <f t="shared" si="24"/>
        <v>112.43324709416845</v>
      </c>
      <c r="L44">
        <f t="shared" si="24"/>
        <v>108.14394742987056</v>
      </c>
      <c r="M44">
        <f t="shared" si="24"/>
        <v>104.01828345239701</v>
      </c>
      <c r="N44">
        <f t="shared" si="24"/>
        <v>100.05001250208352</v>
      </c>
      <c r="O44">
        <f t="shared" si="24"/>
        <v>96.233130075137723</v>
      </c>
      <c r="P44">
        <f t="shared" si="24"/>
        <v>92.561860738053596</v>
      </c>
      <c r="Q44">
        <f t="shared" si="16"/>
        <v>89.03064938863848</v>
      </c>
    </row>
    <row r="45" spans="1:17" x14ac:dyDescent="0.25">
      <c r="A45">
        <f>A44-1</f>
        <v>5</v>
      </c>
      <c r="G45">
        <f t="shared" ref="B45:P45" si="25">$B$10* H44 + $B$11*H45</f>
        <v>121.56948836126162</v>
      </c>
      <c r="H45">
        <f t="shared" si="25"/>
        <v>116.9316434257677</v>
      </c>
      <c r="I45">
        <f t="shared" si="25"/>
        <v>112.47073109018544</v>
      </c>
      <c r="J45">
        <f t="shared" si="25"/>
        <v>108.18000142101187</v>
      </c>
      <c r="K45">
        <f t="shared" si="25"/>
        <v>104.05296199298348</v>
      </c>
      <c r="L45">
        <f t="shared" si="25"/>
        <v>100.08336806520254</v>
      </c>
      <c r="M45">
        <f t="shared" si="25"/>
        <v>96.26521313204185</v>
      </c>
      <c r="N45">
        <f t="shared" si="25"/>
        <v>92.592719834529959</v>
      </c>
      <c r="O45">
        <f t="shared" si="25"/>
        <v>89.060331218464825</v>
      </c>
      <c r="P45">
        <f t="shared" si="25"/>
        <v>85.662702326028139</v>
      </c>
      <c r="Q45">
        <f t="shared" si="16"/>
        <v>82.394692108177381</v>
      </c>
    </row>
    <row r="46" spans="1:17" x14ac:dyDescent="0.25">
      <c r="A46">
        <f>A45-1</f>
        <v>4</v>
      </c>
      <c r="F46">
        <f t="shared" ref="B46:P46" si="26">$B$10* G45 + $B$11*G46</f>
        <v>116.97062713716721</v>
      </c>
      <c r="G46">
        <f t="shared" si="26"/>
        <v>112.50822758295041</v>
      </c>
      <c r="H46">
        <f t="shared" si="26"/>
        <v>108.21606743215345</v>
      </c>
      <c r="I46">
        <f t="shared" si="26"/>
        <v>104.08765209501027</v>
      </c>
      <c r="J46">
        <f t="shared" si="26"/>
        <v>100.1167347486959</v>
      </c>
      <c r="K46">
        <f t="shared" si="26"/>
        <v>96.297306885080843</v>
      </c>
      <c r="L46">
        <f t="shared" si="26"/>
        <v>92.623589219086384</v>
      </c>
      <c r="M46">
        <f t="shared" si="26"/>
        <v>89.090022943883611</v>
      </c>
      <c r="N46">
        <f t="shared" si="26"/>
        <v>85.691261319704637</v>
      </c>
      <c r="O46">
        <f t="shared" si="26"/>
        <v>82.422161583538298</v>
      </c>
      <c r="P46">
        <f t="shared" si="26"/>
        <v>79.277777167468969</v>
      </c>
      <c r="Q46">
        <f t="shared" si="16"/>
        <v>76.253350213883763</v>
      </c>
    </row>
    <row r="47" spans="1:17" x14ac:dyDescent="0.25">
      <c r="A47">
        <f>A46-1</f>
        <v>3</v>
      </c>
      <c r="E47">
        <f t="shared" ref="B47:P47" si="27">$B$10* F46 + $B$11*F47</f>
        <v>112.54573657662971</v>
      </c>
      <c r="F47">
        <f t="shared" si="27"/>
        <v>108.25214546730263</v>
      </c>
      <c r="G47">
        <f t="shared" si="27"/>
        <v>104.12235376233184</v>
      </c>
      <c r="H47">
        <f t="shared" si="27"/>
        <v>100.15011255627098</v>
      </c>
      <c r="I47">
        <f t="shared" si="27"/>
        <v>96.329411337820716</v>
      </c>
      <c r="J47">
        <f t="shared" si="27"/>
        <v>92.654468895152803</v>
      </c>
      <c r="K47">
        <f t="shared" si="27"/>
        <v>89.119724568193931</v>
      </c>
      <c r="L47">
        <f t="shared" si="27"/>
        <v>85.719829834632492</v>
      </c>
      <c r="M47">
        <f t="shared" si="27"/>
        <v>82.44964021691726</v>
      </c>
      <c r="N47">
        <f t="shared" si="27"/>
        <v>79.304207498001801</v>
      </c>
      <c r="O47">
        <f t="shared" si="27"/>
        <v>76.278772234056362</v>
      </c>
      <c r="P47">
        <f t="shared" si="27"/>
        <v>73.368756552817871</v>
      </c>
      <c r="Q47">
        <f t="shared" si="16"/>
        <v>70.56975722668102</v>
      </c>
    </row>
    <row r="48" spans="1:17" x14ac:dyDescent="0.25">
      <c r="A48">
        <f>A47-1</f>
        <v>2</v>
      </c>
      <c r="D48">
        <f t="shared" ref="B48:P48" si="28">$B$10* E47 + $B$11*E48</f>
        <v>108.28823553046809</v>
      </c>
      <c r="E48">
        <f t="shared" si="28"/>
        <v>104.15706699880393</v>
      </c>
      <c r="F48">
        <f t="shared" si="28"/>
        <v>100.18350149163648</v>
      </c>
      <c r="G48">
        <f t="shared" si="28"/>
        <v>96.36152649382862</v>
      </c>
      <c r="H48">
        <f t="shared" si="28"/>
        <v>92.685358866160328</v>
      </c>
      <c r="I48">
        <f t="shared" si="28"/>
        <v>89.149436094695957</v>
      </c>
      <c r="J48">
        <f t="shared" si="28"/>
        <v>85.748407873985983</v>
      </c>
      <c r="K48">
        <f t="shared" si="28"/>
        <v>82.477128011367455</v>
      </c>
      <c r="L48">
        <f t="shared" si="28"/>
        <v>79.330646640113343</v>
      </c>
      <c r="M48">
        <f t="shared" si="28"/>
        <v>76.304202729648182</v>
      </c>
      <c r="N48">
        <f t="shared" si="28"/>
        <v>73.393216881497096</v>
      </c>
      <c r="O48">
        <f t="shared" si="28"/>
        <v>70.593284400067631</v>
      </c>
      <c r="P48">
        <f t="shared" si="28"/>
        <v>67.900168627779308</v>
      </c>
      <c r="Q48">
        <f t="shared" si="16"/>
        <v>65.309794534456429</v>
      </c>
    </row>
    <row r="49" spans="1:17" x14ac:dyDescent="0.25">
      <c r="A49">
        <f>A48-1</f>
        <v>1</v>
      </c>
      <c r="C49">
        <f t="shared" ref="B49:P49" si="29">$B$10* D48 + $B$11*D49</f>
        <v>104.19179180828357</v>
      </c>
      <c r="D49">
        <f t="shared" si="29"/>
        <v>100.21690155850223</v>
      </c>
      <c r="E49">
        <f t="shared" si="29"/>
        <v>96.393652356672902</v>
      </c>
      <c r="F49">
        <f t="shared" si="29"/>
        <v>92.716259135541151</v>
      </c>
      <c r="G49">
        <f t="shared" si="29"/>
        <v>89.179157526690972</v>
      </c>
      <c r="H49">
        <f t="shared" si="29"/>
        <v>85.776995440940425</v>
      </c>
      <c r="I49">
        <f t="shared" si="29"/>
        <v>82.50462496994308</v>
      </c>
      <c r="J49">
        <f t="shared" si="29"/>
        <v>79.357094596741263</v>
      </c>
      <c r="K49">
        <f t="shared" si="29"/>
        <v>76.32964170348481</v>
      </c>
      <c r="L49">
        <f t="shared" si="29"/>
        <v>73.417685364978283</v>
      </c>
      <c r="M49">
        <f t="shared" si="29"/>
        <v>70.616819417152584</v>
      </c>
      <c r="N49">
        <f t="shared" si="29"/>
        <v>67.922805789972671</v>
      </c>
      <c r="O49">
        <f t="shared" si="29"/>
        <v>65.331568094693012</v>
      </c>
      <c r="P49">
        <f t="shared" si="29"/>
        <v>62.839185455757772</v>
      </c>
      <c r="Q49">
        <f t="shared" si="16"/>
        <v>60.441886578012252</v>
      </c>
    </row>
    <row r="50" spans="1:17" x14ac:dyDescent="0.25">
      <c r="A50">
        <f>A49-1</f>
        <v>0</v>
      </c>
      <c r="B50">
        <f>$B$10* C49 + $B$11*C50</f>
        <v>100.25031276057936</v>
      </c>
      <c r="C50">
        <f t="shared" ref="B50:P50" si="30">$B$10* D49 + $B$11*D50</f>
        <v>96.425788929923101</v>
      </c>
      <c r="D50">
        <f t="shared" si="30"/>
        <v>92.747169706728656</v>
      </c>
      <c r="E50">
        <f t="shared" si="30"/>
        <v>89.208888867481363</v>
      </c>
      <c r="F50">
        <f t="shared" si="30"/>
        <v>85.805592538672229</v>
      </c>
      <c r="G50">
        <f t="shared" si="30"/>
        <v>82.532131095699313</v>
      </c>
      <c r="H50">
        <f t="shared" si="30"/>
        <v>79.383551370824208</v>
      </c>
      <c r="I50">
        <f t="shared" si="30"/>
        <v>76.355089158392815</v>
      </c>
      <c r="J50">
        <f t="shared" si="30"/>
        <v>73.442162005980123</v>
      </c>
      <c r="K50">
        <f t="shared" si="30"/>
        <v>70.640362280550875</v>
      </c>
      <c r="L50">
        <f t="shared" si="30"/>
        <v>67.945450499144499</v>
      </c>
      <c r="M50">
        <f t="shared" si="30"/>
        <v>65.353348913992789</v>
      </c>
      <c r="N50">
        <f t="shared" si="30"/>
        <v>62.860135342363478</v>
      </c>
      <c r="O50">
        <f t="shared" si="30"/>
        <v>60.462037231793971</v>
      </c>
      <c r="P50">
        <f t="shared" si="30"/>
        <v>58.155425951734699</v>
      </c>
      <c r="Q50">
        <f t="shared" si="16"/>
        <v>55.936811302964898</v>
      </c>
    </row>
    <row r="53" spans="1:17" x14ac:dyDescent="0.25">
      <c r="A53" t="s">
        <v>49</v>
      </c>
    </row>
    <row r="54" spans="1:17" x14ac:dyDescent="0.25">
      <c r="B54">
        <f>0</f>
        <v>0</v>
      </c>
      <c r="C54">
        <f>B54 + 1</f>
        <v>1</v>
      </c>
      <c r="D54">
        <f t="shared" ref="D54:L54" si="31">C54 + 1</f>
        <v>2</v>
      </c>
      <c r="E54">
        <f t="shared" si="31"/>
        <v>3</v>
      </c>
      <c r="F54">
        <f t="shared" si="31"/>
        <v>4</v>
      </c>
      <c r="G54">
        <f t="shared" si="31"/>
        <v>5</v>
      </c>
      <c r="H54">
        <f t="shared" si="31"/>
        <v>6</v>
      </c>
      <c r="I54">
        <f t="shared" si="31"/>
        <v>7</v>
      </c>
      <c r="J54">
        <f t="shared" si="31"/>
        <v>8</v>
      </c>
      <c r="K54">
        <f t="shared" si="31"/>
        <v>9</v>
      </c>
      <c r="L54">
        <f t="shared" si="31"/>
        <v>10</v>
      </c>
    </row>
    <row r="55" spans="1:17" x14ac:dyDescent="0.25">
      <c r="A55">
        <f>10</f>
        <v>10</v>
      </c>
      <c r="L55">
        <f>MAX(L40-$G$3,0)</f>
        <v>37.422387955186593</v>
      </c>
    </row>
    <row r="56" spans="1:17" x14ac:dyDescent="0.25">
      <c r="A56">
        <f>A55-1</f>
        <v>9</v>
      </c>
      <c r="K56">
        <f>$B$13*($B$10*L55+$B$11*L56)</f>
        <v>31.834922058535167</v>
      </c>
      <c r="L56">
        <f t="shared" ref="L56:L65" si="32">MAX(L41-$G$3,0)</f>
        <v>26.434164513349913</v>
      </c>
    </row>
    <row r="57" spans="1:17" x14ac:dyDescent="0.25">
      <c r="A57">
        <f t="shared" ref="A57:A65" si="33">A56-1</f>
        <v>8</v>
      </c>
      <c r="J57">
        <f t="shared" ref="B57:K57" si="34">$B$13*($B$10*K56+$B$11*K57)</f>
        <v>26.462002931665882</v>
      </c>
      <c r="K57">
        <f t="shared" si="34"/>
        <v>21.265896534915875</v>
      </c>
      <c r="L57">
        <f t="shared" si="32"/>
        <v>16.264955442956079</v>
      </c>
    </row>
    <row r="58" spans="1:17" x14ac:dyDescent="0.25">
      <c r="A58">
        <f t="shared" si="33"/>
        <v>7</v>
      </c>
      <c r="I58">
        <f t="shared" ref="B58:K58" si="35">$B$13*($B$10*J57+$B$11*J58)</f>
        <v>21.295445208053664</v>
      </c>
      <c r="J58">
        <f t="shared" si="35"/>
        <v>16.296183032735577</v>
      </c>
      <c r="K58">
        <f t="shared" si="35"/>
        <v>11.484640193622567</v>
      </c>
      <c r="L58">
        <f t="shared" si="32"/>
        <v>6.8537149758534213</v>
      </c>
    </row>
    <row r="59" spans="1:17" x14ac:dyDescent="0.25">
      <c r="A59">
        <f t="shared" si="33"/>
        <v>6</v>
      </c>
      <c r="H59">
        <f t="shared" ref="B59:K59" si="36">$B$13*($B$10*I58+$B$11*I59)</f>
        <v>16.450362424502078</v>
      </c>
      <c r="I59">
        <f t="shared" si="36"/>
        <v>11.759853424052379</v>
      </c>
      <c r="J59">
        <f t="shared" si="36"/>
        <v>7.3658548625041611</v>
      </c>
      <c r="K59">
        <f t="shared" si="36"/>
        <v>3.3741244654971454</v>
      </c>
      <c r="L59">
        <f t="shared" si="32"/>
        <v>0</v>
      </c>
    </row>
    <row r="60" spans="1:17" x14ac:dyDescent="0.25">
      <c r="A60">
        <f t="shared" si="33"/>
        <v>5</v>
      </c>
      <c r="G60">
        <f t="shared" ref="B60:K60" si="37">$B$13*($B$10*H59+$B$11*H60)</f>
        <v>12.186344244990538</v>
      </c>
      <c r="H60">
        <f t="shared" si="37"/>
        <v>8.0568569911563497</v>
      </c>
      <c r="I60">
        <f t="shared" si="37"/>
        <v>4.4690317281125296</v>
      </c>
      <c r="J60">
        <f t="shared" si="37"/>
        <v>1.6611014535585902</v>
      </c>
      <c r="K60">
        <f t="shared" si="37"/>
        <v>0</v>
      </c>
      <c r="L60">
        <f t="shared" si="32"/>
        <v>0</v>
      </c>
    </row>
    <row r="61" spans="1:17" x14ac:dyDescent="0.25">
      <c r="A61">
        <f t="shared" si="33"/>
        <v>4</v>
      </c>
      <c r="F61">
        <f t="shared" ref="B61:K61" si="38">$B$13*($B$10*G60+$B$11*G61)</f>
        <v>8.684974052780472</v>
      </c>
      <c r="G61">
        <f t="shared" si="38"/>
        <v>5.2932047906355777</v>
      </c>
      <c r="H61">
        <f t="shared" si="38"/>
        <v>2.6150352657138249</v>
      </c>
      <c r="I61">
        <f t="shared" si="38"/>
        <v>0.81777008146257302</v>
      </c>
      <c r="J61">
        <f t="shared" si="38"/>
        <v>0</v>
      </c>
      <c r="K61">
        <f t="shared" si="38"/>
        <v>0</v>
      </c>
      <c r="L61">
        <f t="shared" si="32"/>
        <v>0</v>
      </c>
    </row>
    <row r="62" spans="1:17" x14ac:dyDescent="0.25">
      <c r="A62">
        <f t="shared" si="33"/>
        <v>3</v>
      </c>
      <c r="E62">
        <f t="shared" ref="B62:K62" si="39">$B$13*($B$10*F61+$B$11*F62)</f>
        <v>5.9817584502046852</v>
      </c>
      <c r="F62">
        <f t="shared" si="39"/>
        <v>3.3626844932000592</v>
      </c>
      <c r="G62">
        <f t="shared" si="39"/>
        <v>1.4916572797113579</v>
      </c>
      <c r="H62">
        <f t="shared" si="39"/>
        <v>0.40259305336386264</v>
      </c>
      <c r="I62">
        <f t="shared" si="39"/>
        <v>0</v>
      </c>
      <c r="J62">
        <f t="shared" si="39"/>
        <v>0</v>
      </c>
      <c r="K62">
        <f t="shared" si="39"/>
        <v>0</v>
      </c>
      <c r="L62">
        <f t="shared" si="32"/>
        <v>0</v>
      </c>
    </row>
    <row r="63" spans="1:17" x14ac:dyDescent="0.25">
      <c r="A63">
        <f t="shared" si="33"/>
        <v>2</v>
      </c>
      <c r="D63">
        <f t="shared" ref="B63:K63" si="40">$B$13*($B$10*E62+$B$11*E63)</f>
        <v>3.9996937949637403</v>
      </c>
      <c r="E63">
        <f t="shared" si="40"/>
        <v>2.0790701375576703</v>
      </c>
      <c r="F63">
        <f t="shared" si="40"/>
        <v>0.83491008633974928</v>
      </c>
      <c r="G63">
        <f t="shared" si="40"/>
        <v>0.19819894404422025</v>
      </c>
      <c r="H63">
        <f t="shared" si="40"/>
        <v>0</v>
      </c>
      <c r="I63">
        <f t="shared" si="40"/>
        <v>0</v>
      </c>
      <c r="J63">
        <f t="shared" si="40"/>
        <v>0</v>
      </c>
      <c r="K63">
        <f t="shared" si="40"/>
        <v>0</v>
      </c>
      <c r="L63">
        <f t="shared" si="32"/>
        <v>0</v>
      </c>
    </row>
    <row r="64" spans="1:17" x14ac:dyDescent="0.25">
      <c r="A64">
        <f t="shared" si="33"/>
        <v>1</v>
      </c>
      <c r="C64">
        <f t="shared" ref="B64:K64" si="41">$B$13*($B$10*D63+$B$11*D64)</f>
        <v>2.6069253086966344</v>
      </c>
      <c r="D64">
        <f t="shared" si="41"/>
        <v>1.257196789552242</v>
      </c>
      <c r="E64">
        <f t="shared" si="41"/>
        <v>0.46053666270032528</v>
      </c>
      <c r="F64">
        <f t="shared" si="41"/>
        <v>9.7574513747857028E-2</v>
      </c>
      <c r="G64">
        <f t="shared" si="41"/>
        <v>0</v>
      </c>
      <c r="H64">
        <f t="shared" si="41"/>
        <v>0</v>
      </c>
      <c r="I64">
        <f t="shared" si="41"/>
        <v>0</v>
      </c>
      <c r="J64">
        <f t="shared" si="41"/>
        <v>0</v>
      </c>
      <c r="K64">
        <f t="shared" si="41"/>
        <v>0</v>
      </c>
      <c r="L64">
        <f t="shared" si="32"/>
        <v>0</v>
      </c>
    </row>
    <row r="65" spans="1:12" x14ac:dyDescent="0.25">
      <c r="A65">
        <f t="shared" si="33"/>
        <v>0</v>
      </c>
      <c r="B65">
        <f>$B$13*($B$10*C64+$B$11*C65)</f>
        <v>1.6620593348072257</v>
      </c>
      <c r="C65">
        <f t="shared" ref="B65:K65" si="42">$B$13*($B$10*D64+$B$11*D65)</f>
        <v>0.74632208138716183</v>
      </c>
      <c r="D65">
        <f t="shared" si="42"/>
        <v>0.25109676865825187</v>
      </c>
      <c r="E65">
        <f t="shared" si="42"/>
        <v>4.8036510885782278E-2</v>
      </c>
      <c r="F65">
        <f t="shared" si="42"/>
        <v>0</v>
      </c>
      <c r="G65">
        <f t="shared" si="42"/>
        <v>0</v>
      </c>
      <c r="H65">
        <f t="shared" si="42"/>
        <v>0</v>
      </c>
      <c r="I65">
        <f t="shared" si="42"/>
        <v>0</v>
      </c>
      <c r="J65">
        <f t="shared" si="42"/>
        <v>0</v>
      </c>
      <c r="K65">
        <f t="shared" si="42"/>
        <v>0</v>
      </c>
      <c r="L65">
        <f t="shared" si="32"/>
        <v>0</v>
      </c>
    </row>
    <row r="67" spans="1:12" x14ac:dyDescent="0.25">
      <c r="A67" t="s">
        <v>50</v>
      </c>
    </row>
    <row r="68" spans="1:12" x14ac:dyDescent="0.25">
      <c r="B68">
        <f>0</f>
        <v>0</v>
      </c>
      <c r="C68">
        <f>B68 + 1</f>
        <v>1</v>
      </c>
      <c r="D68">
        <f t="shared" ref="D68:L68" si="43">C68 + 1</f>
        <v>2</v>
      </c>
      <c r="E68">
        <f t="shared" si="43"/>
        <v>3</v>
      </c>
      <c r="F68">
        <f t="shared" si="43"/>
        <v>4</v>
      </c>
      <c r="G68">
        <f t="shared" si="43"/>
        <v>5</v>
      </c>
      <c r="H68">
        <f t="shared" si="43"/>
        <v>6</v>
      </c>
      <c r="I68">
        <f t="shared" si="43"/>
        <v>7</v>
      </c>
      <c r="J68">
        <f t="shared" si="43"/>
        <v>8</v>
      </c>
      <c r="K68">
        <f t="shared" si="43"/>
        <v>9</v>
      </c>
      <c r="L68">
        <f t="shared" si="43"/>
        <v>10</v>
      </c>
    </row>
    <row r="69" spans="1:12" x14ac:dyDescent="0.25">
      <c r="A69">
        <f>10</f>
        <v>10</v>
      </c>
      <c r="L69">
        <f>MAX(L40 - $G$3,0)</f>
        <v>37.422387955186593</v>
      </c>
    </row>
    <row r="70" spans="1:12" x14ac:dyDescent="0.25">
      <c r="A70">
        <f>A69-1</f>
        <v>9</v>
      </c>
      <c r="K70">
        <f t="shared" ref="B70:L70" si="44">MAX(K41 - $G$3,0)</f>
        <v>31.84553546802465</v>
      </c>
      <c r="L70">
        <f t="shared" si="44"/>
        <v>26.434164513349913</v>
      </c>
    </row>
    <row r="71" spans="1:12" x14ac:dyDescent="0.25">
      <c r="A71">
        <f t="shared" ref="A71:A79" si="45">A70-1</f>
        <v>8</v>
      </c>
      <c r="J71">
        <f t="shared" ref="B71:L71" si="46">MAX(J42 - $G$3,0)</f>
        <v>26.47965014870573</v>
      </c>
      <c r="K71">
        <f t="shared" si="46"/>
        <v>21.272986348664148</v>
      </c>
      <c r="L71">
        <f t="shared" si="46"/>
        <v>16.264955442956079</v>
      </c>
    </row>
    <row r="72" spans="1:12" x14ac:dyDescent="0.25">
      <c r="A72">
        <f t="shared" si="45"/>
        <v>7</v>
      </c>
      <c r="I72">
        <f t="shared" ref="B72:L72" si="47">MAX(I43 - $G$3,0)</f>
        <v>21.316751304534421</v>
      </c>
      <c r="J72">
        <f t="shared" si="47"/>
        <v>16.307050776936279</v>
      </c>
      <c r="K72">
        <f t="shared" si="47"/>
        <v>11.488469045126905</v>
      </c>
      <c r="L72">
        <f t="shared" si="47"/>
        <v>6.8537149758534213</v>
      </c>
    </row>
    <row r="73" spans="1:12" x14ac:dyDescent="0.25">
      <c r="A73">
        <f t="shared" si="45"/>
        <v>6</v>
      </c>
      <c r="H73">
        <f t="shared" ref="B73:L73" si="48">MAX(H44 - $G$3,0)</f>
        <v>16.349160145033352</v>
      </c>
      <c r="I73">
        <f t="shared" si="48"/>
        <v>11.528971951584651</v>
      </c>
      <c r="J73">
        <f t="shared" si="48"/>
        <v>6.8926727067731406</v>
      </c>
      <c r="K73">
        <f t="shared" si="48"/>
        <v>2.4332470941684505</v>
      </c>
      <c r="L73">
        <f t="shared" si="48"/>
        <v>0</v>
      </c>
    </row>
    <row r="74" spans="1:12" x14ac:dyDescent="0.25">
      <c r="A74">
        <f t="shared" si="45"/>
        <v>5</v>
      </c>
      <c r="G74">
        <f t="shared" ref="B74:L74" si="49">MAX(G45 - $G$3,0)</f>
        <v>11.56948836126162</v>
      </c>
      <c r="H74">
        <f t="shared" si="49"/>
        <v>6.9316434257677031</v>
      </c>
      <c r="I74">
        <f t="shared" si="49"/>
        <v>2.4707310901854385</v>
      </c>
      <c r="J74">
        <f t="shared" si="49"/>
        <v>0</v>
      </c>
      <c r="K74">
        <f t="shared" si="49"/>
        <v>0</v>
      </c>
      <c r="L74">
        <f t="shared" si="49"/>
        <v>0</v>
      </c>
    </row>
    <row r="75" spans="1:12" x14ac:dyDescent="0.25">
      <c r="A75">
        <f t="shared" si="45"/>
        <v>4</v>
      </c>
      <c r="F75">
        <f t="shared" ref="B75:L75" si="50">MAX(F46 - $G$3,0)</f>
        <v>6.970627137167213</v>
      </c>
      <c r="G75">
        <f t="shared" si="50"/>
        <v>2.5082275829504113</v>
      </c>
      <c r="H75">
        <f t="shared" si="50"/>
        <v>0</v>
      </c>
      <c r="I75">
        <f t="shared" si="50"/>
        <v>0</v>
      </c>
      <c r="J75">
        <f t="shared" si="50"/>
        <v>0</v>
      </c>
      <c r="K75">
        <f t="shared" si="50"/>
        <v>0</v>
      </c>
      <c r="L75">
        <f t="shared" si="50"/>
        <v>0</v>
      </c>
    </row>
    <row r="76" spans="1:12" x14ac:dyDescent="0.25">
      <c r="A76">
        <f t="shared" si="45"/>
        <v>3</v>
      </c>
      <c r="E76">
        <f>MAX(E47 - $G$3,0)</f>
        <v>2.5457365766297073</v>
      </c>
      <c r="F76">
        <f t="shared" ref="B76:L76" si="51">MAX(F47 - $G$3,0)</f>
        <v>0</v>
      </c>
      <c r="G76">
        <f t="shared" si="51"/>
        <v>0</v>
      </c>
      <c r="H76">
        <f t="shared" si="51"/>
        <v>0</v>
      </c>
      <c r="I76">
        <f t="shared" si="51"/>
        <v>0</v>
      </c>
      <c r="J76">
        <f t="shared" si="51"/>
        <v>0</v>
      </c>
      <c r="K76">
        <f t="shared" si="51"/>
        <v>0</v>
      </c>
      <c r="L76">
        <f t="shared" si="51"/>
        <v>0</v>
      </c>
    </row>
    <row r="77" spans="1:12" x14ac:dyDescent="0.25">
      <c r="A77">
        <f t="shared" si="45"/>
        <v>2</v>
      </c>
      <c r="D77">
        <f t="shared" ref="B77:L77" si="52">MAX(D48 - $G$3,0)</f>
        <v>0</v>
      </c>
      <c r="E77">
        <f t="shared" si="52"/>
        <v>0</v>
      </c>
      <c r="F77">
        <f t="shared" si="52"/>
        <v>0</v>
      </c>
      <c r="G77">
        <f t="shared" si="52"/>
        <v>0</v>
      </c>
      <c r="H77">
        <f t="shared" si="52"/>
        <v>0</v>
      </c>
      <c r="I77">
        <f t="shared" si="52"/>
        <v>0</v>
      </c>
      <c r="J77">
        <f t="shared" si="52"/>
        <v>0</v>
      </c>
      <c r="K77">
        <f t="shared" si="52"/>
        <v>0</v>
      </c>
      <c r="L77">
        <f t="shared" si="52"/>
        <v>0</v>
      </c>
    </row>
    <row r="78" spans="1:12" x14ac:dyDescent="0.25">
      <c r="A78">
        <f t="shared" si="45"/>
        <v>1</v>
      </c>
      <c r="C78">
        <f t="shared" ref="B78:L78" si="53">MAX(C49 - $G$3,0)</f>
        <v>0</v>
      </c>
      <c r="D78">
        <f t="shared" si="53"/>
        <v>0</v>
      </c>
      <c r="E78">
        <f t="shared" si="53"/>
        <v>0</v>
      </c>
      <c r="F78">
        <f t="shared" si="53"/>
        <v>0</v>
      </c>
      <c r="G78">
        <f t="shared" si="53"/>
        <v>0</v>
      </c>
      <c r="H78">
        <f t="shared" si="53"/>
        <v>0</v>
      </c>
      <c r="I78">
        <f t="shared" si="53"/>
        <v>0</v>
      </c>
      <c r="J78">
        <f t="shared" si="53"/>
        <v>0</v>
      </c>
      <c r="K78">
        <f t="shared" si="53"/>
        <v>0</v>
      </c>
      <c r="L78">
        <f t="shared" si="53"/>
        <v>0</v>
      </c>
    </row>
    <row r="79" spans="1:12" x14ac:dyDescent="0.25">
      <c r="A79">
        <f t="shared" si="45"/>
        <v>0</v>
      </c>
      <c r="B79">
        <f>MAX(B50 - $G$3,0)</f>
        <v>0</v>
      </c>
      <c r="C79">
        <f>MAX(C50 - $G$3,0)</f>
        <v>0</v>
      </c>
      <c r="D79">
        <f t="shared" ref="B79:L79" si="54">MAX(D50 - $G$3,0)</f>
        <v>0</v>
      </c>
      <c r="E79">
        <f t="shared" si="54"/>
        <v>0</v>
      </c>
      <c r="F79">
        <f t="shared" si="54"/>
        <v>0</v>
      </c>
      <c r="G79">
        <f t="shared" si="54"/>
        <v>0</v>
      </c>
      <c r="H79">
        <f t="shared" si="54"/>
        <v>0</v>
      </c>
      <c r="I79">
        <f t="shared" si="54"/>
        <v>0</v>
      </c>
      <c r="J79">
        <f t="shared" si="54"/>
        <v>0</v>
      </c>
      <c r="K79">
        <f t="shared" si="54"/>
        <v>0</v>
      </c>
      <c r="L79">
        <f t="shared" si="54"/>
        <v>0</v>
      </c>
    </row>
    <row r="82" spans="1:12" x14ac:dyDescent="0.25">
      <c r="A82" t="s">
        <v>51</v>
      </c>
    </row>
    <row r="83" spans="1:12" x14ac:dyDescent="0.25">
      <c r="B83">
        <f>0</f>
        <v>0</v>
      </c>
      <c r="C83">
        <f>B83 + 1</f>
        <v>1</v>
      </c>
      <c r="D83">
        <f t="shared" ref="D83:L83" si="55">C83 + 1</f>
        <v>2</v>
      </c>
      <c r="E83">
        <f t="shared" si="55"/>
        <v>3</v>
      </c>
      <c r="F83">
        <f t="shared" si="55"/>
        <v>4</v>
      </c>
      <c r="G83">
        <f t="shared" si="55"/>
        <v>5</v>
      </c>
      <c r="H83">
        <f t="shared" si="55"/>
        <v>6</v>
      </c>
      <c r="I83">
        <f t="shared" si="55"/>
        <v>7</v>
      </c>
      <c r="J83">
        <f t="shared" si="55"/>
        <v>8</v>
      </c>
      <c r="K83">
        <f t="shared" si="55"/>
        <v>9</v>
      </c>
      <c r="L83">
        <f t="shared" si="55"/>
        <v>10</v>
      </c>
    </row>
    <row r="84" spans="1:12" x14ac:dyDescent="0.25">
      <c r="A84">
        <f>10</f>
        <v>10</v>
      </c>
      <c r="L84">
        <f>L69-L55</f>
        <v>0</v>
      </c>
    </row>
    <row r="85" spans="1:12" x14ac:dyDescent="0.25">
      <c r="A85">
        <f>A84-1</f>
        <v>9</v>
      </c>
      <c r="K85">
        <f t="shared" ref="B85:L85" si="56">K70-K56</f>
        <v>1.0613409489483416E-2</v>
      </c>
      <c r="L85">
        <f t="shared" si="56"/>
        <v>0</v>
      </c>
    </row>
    <row r="86" spans="1:12" x14ac:dyDescent="0.25">
      <c r="A86">
        <f t="shared" ref="A86:A94" si="57">A85-1</f>
        <v>8</v>
      </c>
      <c r="J86">
        <f t="shared" ref="B86:L86" si="58">J71-J57</f>
        <v>1.7647217039847618E-2</v>
      </c>
      <c r="K86">
        <f t="shared" si="58"/>
        <v>7.0898137482728885E-3</v>
      </c>
      <c r="L86">
        <f t="shared" si="58"/>
        <v>0</v>
      </c>
    </row>
    <row r="87" spans="1:12" x14ac:dyDescent="0.25">
      <c r="A87">
        <f t="shared" si="57"/>
        <v>7</v>
      </c>
      <c r="I87" s="64">
        <f t="shared" ref="B87:L87" si="59">I72-I58</f>
        <v>2.1306096480756764E-2</v>
      </c>
      <c r="J87">
        <f t="shared" si="59"/>
        <v>1.0867744200702134E-2</v>
      </c>
      <c r="K87">
        <f t="shared" si="59"/>
        <v>3.8288515043376492E-3</v>
      </c>
      <c r="L87">
        <f t="shared" si="59"/>
        <v>0</v>
      </c>
    </row>
    <row r="88" spans="1:12" x14ac:dyDescent="0.25">
      <c r="A88">
        <f t="shared" si="57"/>
        <v>6</v>
      </c>
      <c r="H88">
        <f t="shared" ref="B88:L88" si="60">H73-H59</f>
        <v>-0.10120227946872618</v>
      </c>
      <c r="I88">
        <f t="shared" si="60"/>
        <v>-0.23088147246772728</v>
      </c>
      <c r="J88">
        <f t="shared" si="60"/>
        <v>-0.47318215573102052</v>
      </c>
      <c r="K88">
        <f t="shared" si="60"/>
        <v>-0.94087737132869487</v>
      </c>
      <c r="L88">
        <f t="shared" si="60"/>
        <v>0</v>
      </c>
    </row>
    <row r="89" spans="1:12" x14ac:dyDescent="0.25">
      <c r="A89">
        <f t="shared" si="57"/>
        <v>5</v>
      </c>
      <c r="G89">
        <f t="shared" ref="B89:L89" si="61">G74-G60</f>
        <v>-0.61685588372891864</v>
      </c>
      <c r="H89">
        <f t="shared" si="61"/>
        <v>-1.1252135653886466</v>
      </c>
      <c r="I89">
        <f t="shared" si="61"/>
        <v>-1.9983006379270911</v>
      </c>
      <c r="J89">
        <f t="shared" si="61"/>
        <v>-1.6611014535585902</v>
      </c>
      <c r="K89">
        <f t="shared" si="61"/>
        <v>0</v>
      </c>
      <c r="L89">
        <f t="shared" si="61"/>
        <v>0</v>
      </c>
    </row>
    <row r="90" spans="1:12" x14ac:dyDescent="0.25">
      <c r="A90">
        <f t="shared" si="57"/>
        <v>4</v>
      </c>
      <c r="F90">
        <f t="shared" ref="B90:L90" si="62">F75-F61</f>
        <v>-1.7143469156132589</v>
      </c>
      <c r="G90">
        <f t="shared" si="62"/>
        <v>-2.7849772076851664</v>
      </c>
      <c r="H90">
        <f t="shared" si="62"/>
        <v>-2.6150352657138249</v>
      </c>
      <c r="I90">
        <f t="shared" si="62"/>
        <v>-0.81777008146257302</v>
      </c>
      <c r="J90">
        <f t="shared" si="62"/>
        <v>0</v>
      </c>
      <c r="K90">
        <f t="shared" si="62"/>
        <v>0</v>
      </c>
      <c r="L90">
        <f t="shared" si="62"/>
        <v>0</v>
      </c>
    </row>
    <row r="91" spans="1:12" x14ac:dyDescent="0.25">
      <c r="A91">
        <f t="shared" si="57"/>
        <v>3</v>
      </c>
      <c r="E91">
        <f t="shared" ref="B91:L91" si="63">E76-E62</f>
        <v>-3.4360218735749779</v>
      </c>
      <c r="F91">
        <f t="shared" si="63"/>
        <v>-3.3626844932000592</v>
      </c>
      <c r="G91">
        <f t="shared" si="63"/>
        <v>-1.4916572797113579</v>
      </c>
      <c r="H91">
        <f t="shared" si="63"/>
        <v>-0.40259305336386264</v>
      </c>
      <c r="I91">
        <f t="shared" si="63"/>
        <v>0</v>
      </c>
      <c r="J91">
        <f t="shared" si="63"/>
        <v>0</v>
      </c>
      <c r="K91">
        <f t="shared" si="63"/>
        <v>0</v>
      </c>
      <c r="L91">
        <f t="shared" si="63"/>
        <v>0</v>
      </c>
    </row>
    <row r="92" spans="1:12" x14ac:dyDescent="0.25">
      <c r="A92">
        <f t="shared" si="57"/>
        <v>2</v>
      </c>
      <c r="D92">
        <f t="shared" ref="B92:L92" si="64">D77-D63</f>
        <v>-3.9996937949637403</v>
      </c>
      <c r="E92">
        <f t="shared" si="64"/>
        <v>-2.0790701375576703</v>
      </c>
      <c r="F92">
        <f t="shared" si="64"/>
        <v>-0.83491008633974928</v>
      </c>
      <c r="G92">
        <f t="shared" si="64"/>
        <v>-0.19819894404422025</v>
      </c>
      <c r="H92">
        <f t="shared" si="64"/>
        <v>0</v>
      </c>
      <c r="I92">
        <f t="shared" si="64"/>
        <v>0</v>
      </c>
      <c r="J92">
        <f t="shared" si="64"/>
        <v>0</v>
      </c>
      <c r="K92">
        <f t="shared" si="64"/>
        <v>0</v>
      </c>
      <c r="L92">
        <f t="shared" si="64"/>
        <v>0</v>
      </c>
    </row>
    <row r="93" spans="1:12" x14ac:dyDescent="0.25">
      <c r="A93">
        <f t="shared" si="57"/>
        <v>1</v>
      </c>
      <c r="C93">
        <f t="shared" ref="B93:L93" si="65">C78-C64</f>
        <v>-2.6069253086966344</v>
      </c>
      <c r="D93">
        <f t="shared" si="65"/>
        <v>-1.257196789552242</v>
      </c>
      <c r="E93">
        <f t="shared" si="65"/>
        <v>-0.46053666270032528</v>
      </c>
      <c r="F93">
        <f t="shared" si="65"/>
        <v>-9.7574513747857028E-2</v>
      </c>
      <c r="G93">
        <f t="shared" si="65"/>
        <v>0</v>
      </c>
      <c r="H93">
        <f t="shared" si="65"/>
        <v>0</v>
      </c>
      <c r="I93">
        <f t="shared" si="65"/>
        <v>0</v>
      </c>
      <c r="J93">
        <f t="shared" si="65"/>
        <v>0</v>
      </c>
      <c r="K93">
        <f t="shared" si="65"/>
        <v>0</v>
      </c>
      <c r="L93">
        <f t="shared" si="65"/>
        <v>0</v>
      </c>
    </row>
    <row r="94" spans="1:12" x14ac:dyDescent="0.25">
      <c r="A94">
        <f t="shared" si="57"/>
        <v>0</v>
      </c>
      <c r="B94">
        <f t="shared" ref="B94:L94" si="66">B79-B65</f>
        <v>-1.6620593348072257</v>
      </c>
      <c r="C94">
        <f t="shared" si="66"/>
        <v>-0.74632208138716183</v>
      </c>
      <c r="D94">
        <f t="shared" si="66"/>
        <v>-0.25109676865825187</v>
      </c>
      <c r="E94">
        <f t="shared" si="66"/>
        <v>-4.8036510885782278E-2</v>
      </c>
      <c r="F94" s="75">
        <f t="shared" si="66"/>
        <v>0</v>
      </c>
      <c r="G94">
        <f t="shared" si="66"/>
        <v>0</v>
      </c>
      <c r="H94">
        <f t="shared" si="66"/>
        <v>0</v>
      </c>
      <c r="I94">
        <f t="shared" si="66"/>
        <v>0</v>
      </c>
      <c r="J94">
        <f t="shared" si="66"/>
        <v>0</v>
      </c>
      <c r="K94">
        <f t="shared" si="66"/>
        <v>0</v>
      </c>
      <c r="L94">
        <f t="shared" si="66"/>
        <v>0</v>
      </c>
    </row>
    <row r="97" spans="1:12" x14ac:dyDescent="0.25">
      <c r="A97" t="s">
        <v>52</v>
      </c>
    </row>
    <row r="98" spans="1:12" x14ac:dyDescent="0.25">
      <c r="B98">
        <f>0</f>
        <v>0</v>
      </c>
      <c r="C98">
        <f>B98 + 1</f>
        <v>1</v>
      </c>
      <c r="D98">
        <f t="shared" ref="D98:L98" si="67">C98 + 1</f>
        <v>2</v>
      </c>
      <c r="E98">
        <f t="shared" si="67"/>
        <v>3</v>
      </c>
      <c r="F98">
        <f t="shared" si="67"/>
        <v>4</v>
      </c>
      <c r="G98">
        <f t="shared" si="67"/>
        <v>5</v>
      </c>
      <c r="I98">
        <f t="shared" si="67"/>
        <v>1</v>
      </c>
      <c r="J98">
        <f t="shared" si="67"/>
        <v>2</v>
      </c>
      <c r="K98">
        <f t="shared" si="67"/>
        <v>3</v>
      </c>
      <c r="L98">
        <f t="shared" si="67"/>
        <v>4</v>
      </c>
    </row>
    <row r="99" spans="1:12" x14ac:dyDescent="0.25">
      <c r="A99">
        <f>10</f>
        <v>10</v>
      </c>
      <c r="L99">
        <f>MAX(L69,L55)</f>
        <v>37.422387955186593</v>
      </c>
    </row>
    <row r="100" spans="1:12" x14ac:dyDescent="0.25">
      <c r="A100">
        <f>A99-1</f>
        <v>9</v>
      </c>
      <c r="K100">
        <f t="shared" ref="B100:L100" si="68">MAX(K70,K56)</f>
        <v>31.84553546802465</v>
      </c>
      <c r="L100">
        <f t="shared" si="68"/>
        <v>26.434164513349913</v>
      </c>
    </row>
    <row r="101" spans="1:12" x14ac:dyDescent="0.25">
      <c r="A101">
        <f t="shared" ref="A101:A109" si="69">A100-1</f>
        <v>8</v>
      </c>
      <c r="J101">
        <f t="shared" ref="B101:L101" si="70">MAX(J71,J57)</f>
        <v>26.47965014870573</v>
      </c>
      <c r="K101">
        <f t="shared" si="70"/>
        <v>21.272986348664148</v>
      </c>
      <c r="L101">
        <f t="shared" si="70"/>
        <v>16.264955442956079</v>
      </c>
    </row>
    <row r="102" spans="1:12" x14ac:dyDescent="0.25">
      <c r="A102">
        <f t="shared" si="69"/>
        <v>7</v>
      </c>
      <c r="I102">
        <f t="shared" ref="B102:L102" si="71">MAX(I72,I58)</f>
        <v>21.316751304534421</v>
      </c>
      <c r="J102">
        <f t="shared" si="71"/>
        <v>16.307050776936279</v>
      </c>
      <c r="K102">
        <f t="shared" si="71"/>
        <v>11.488469045126905</v>
      </c>
      <c r="L102">
        <f t="shared" si="71"/>
        <v>6.8537149758534213</v>
      </c>
    </row>
    <row r="103" spans="1:12" x14ac:dyDescent="0.25">
      <c r="A103">
        <f t="shared" si="69"/>
        <v>6</v>
      </c>
      <c r="H103">
        <f t="shared" ref="B103:L103" si="72">MAX(H73,H59)</f>
        <v>16.450362424502078</v>
      </c>
      <c r="I103">
        <f t="shared" si="72"/>
        <v>11.759853424052379</v>
      </c>
      <c r="J103">
        <f t="shared" si="72"/>
        <v>7.3658548625041611</v>
      </c>
      <c r="K103">
        <f t="shared" si="72"/>
        <v>3.3741244654971454</v>
      </c>
      <c r="L103">
        <f t="shared" si="72"/>
        <v>0</v>
      </c>
    </row>
    <row r="104" spans="1:12" x14ac:dyDescent="0.25">
      <c r="A104">
        <f t="shared" si="69"/>
        <v>5</v>
      </c>
      <c r="G104">
        <f t="shared" ref="B104:L104" si="73">MAX(G74,G60)</f>
        <v>12.186344244990538</v>
      </c>
      <c r="H104">
        <f t="shared" si="73"/>
        <v>8.0568569911563497</v>
      </c>
      <c r="I104">
        <f t="shared" si="73"/>
        <v>4.4690317281125296</v>
      </c>
      <c r="J104">
        <f t="shared" si="73"/>
        <v>1.6611014535585902</v>
      </c>
      <c r="K104">
        <f t="shared" si="73"/>
        <v>0</v>
      </c>
      <c r="L104">
        <f t="shared" si="73"/>
        <v>0</v>
      </c>
    </row>
    <row r="105" spans="1:12" x14ac:dyDescent="0.25">
      <c r="A105">
        <f t="shared" si="69"/>
        <v>4</v>
      </c>
      <c r="F105">
        <f t="shared" ref="B105:L105" si="74">MAX(F75,F61)</f>
        <v>8.684974052780472</v>
      </c>
      <c r="G105">
        <f t="shared" si="74"/>
        <v>5.2932047906355777</v>
      </c>
      <c r="H105">
        <f t="shared" si="74"/>
        <v>2.6150352657138249</v>
      </c>
      <c r="I105">
        <f t="shared" si="74"/>
        <v>0.81777008146257302</v>
      </c>
      <c r="J105">
        <f t="shared" si="74"/>
        <v>0</v>
      </c>
      <c r="K105">
        <f t="shared" si="74"/>
        <v>0</v>
      </c>
      <c r="L105">
        <f t="shared" si="74"/>
        <v>0</v>
      </c>
    </row>
    <row r="106" spans="1:12" x14ac:dyDescent="0.25">
      <c r="A106">
        <f t="shared" si="69"/>
        <v>3</v>
      </c>
      <c r="E106">
        <f t="shared" ref="B106:L106" si="75">MAX(E76,E62)</f>
        <v>5.9817584502046852</v>
      </c>
      <c r="F106">
        <f t="shared" si="75"/>
        <v>3.3626844932000592</v>
      </c>
      <c r="G106">
        <f t="shared" si="75"/>
        <v>1.4916572797113579</v>
      </c>
      <c r="H106">
        <f t="shared" si="75"/>
        <v>0.40259305336386264</v>
      </c>
      <c r="I106">
        <f t="shared" si="75"/>
        <v>0</v>
      </c>
      <c r="J106">
        <f t="shared" si="75"/>
        <v>0</v>
      </c>
      <c r="K106">
        <f t="shared" si="75"/>
        <v>0</v>
      </c>
      <c r="L106">
        <f t="shared" si="75"/>
        <v>0</v>
      </c>
    </row>
    <row r="107" spans="1:12" x14ac:dyDescent="0.25">
      <c r="A107">
        <f t="shared" si="69"/>
        <v>2</v>
      </c>
      <c r="D107">
        <f t="shared" ref="B107:L107" si="76">MAX(D77,D63)</f>
        <v>3.9996937949637403</v>
      </c>
      <c r="E107">
        <f t="shared" si="76"/>
        <v>2.0790701375576703</v>
      </c>
      <c r="F107">
        <f t="shared" si="76"/>
        <v>0.83491008633974928</v>
      </c>
      <c r="G107">
        <f t="shared" si="76"/>
        <v>0.19819894404422025</v>
      </c>
      <c r="H107">
        <f t="shared" si="76"/>
        <v>0</v>
      </c>
      <c r="I107">
        <f t="shared" si="76"/>
        <v>0</v>
      </c>
      <c r="J107">
        <f t="shared" si="76"/>
        <v>0</v>
      </c>
      <c r="K107">
        <f t="shared" si="76"/>
        <v>0</v>
      </c>
      <c r="L107">
        <f t="shared" si="76"/>
        <v>0</v>
      </c>
    </row>
    <row r="108" spans="1:12" x14ac:dyDescent="0.25">
      <c r="A108">
        <f t="shared" si="69"/>
        <v>1</v>
      </c>
      <c r="C108">
        <f t="shared" ref="B108:L108" si="77">MAX(C78,C64)</f>
        <v>2.6069253086966344</v>
      </c>
      <c r="D108">
        <f t="shared" si="77"/>
        <v>1.257196789552242</v>
      </c>
      <c r="E108">
        <f t="shared" si="77"/>
        <v>0.46053666270032528</v>
      </c>
      <c r="F108">
        <f t="shared" si="77"/>
        <v>9.7574513747857028E-2</v>
      </c>
      <c r="G108">
        <f t="shared" si="77"/>
        <v>0</v>
      </c>
      <c r="H108">
        <f t="shared" si="77"/>
        <v>0</v>
      </c>
      <c r="I108">
        <f t="shared" si="77"/>
        <v>0</v>
      </c>
      <c r="J108">
        <f t="shared" si="77"/>
        <v>0</v>
      </c>
      <c r="K108">
        <f t="shared" si="77"/>
        <v>0</v>
      </c>
      <c r="L108">
        <f t="shared" si="77"/>
        <v>0</v>
      </c>
    </row>
    <row r="109" spans="1:12" x14ac:dyDescent="0.25">
      <c r="A109">
        <f t="shared" si="69"/>
        <v>0</v>
      </c>
      <c r="B109" s="64">
        <f>MAX(B79,B65)</f>
        <v>1.6620593348072257</v>
      </c>
      <c r="C109">
        <f t="shared" ref="B109:L109" si="78">MAX(C79,C65)</f>
        <v>0.74632208138716183</v>
      </c>
      <c r="D109">
        <f t="shared" si="78"/>
        <v>0.25109676865825187</v>
      </c>
      <c r="E109">
        <f t="shared" si="78"/>
        <v>4.8036510885782278E-2</v>
      </c>
      <c r="F109">
        <f t="shared" si="78"/>
        <v>0</v>
      </c>
      <c r="G109">
        <f t="shared" si="78"/>
        <v>0</v>
      </c>
      <c r="H109">
        <f t="shared" si="78"/>
        <v>0</v>
      </c>
      <c r="I109">
        <f t="shared" si="78"/>
        <v>0</v>
      </c>
      <c r="J109">
        <f t="shared" si="78"/>
        <v>0</v>
      </c>
      <c r="K109">
        <f t="shared" si="78"/>
        <v>0</v>
      </c>
      <c r="L109">
        <f t="shared" si="78"/>
        <v>0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8"/>
  <sheetViews>
    <sheetView showGridLines="0" topLeftCell="A9" zoomScaleNormal="100" workbookViewId="0">
      <selection activeCell="D27" sqref="D27"/>
    </sheetView>
  </sheetViews>
  <sheetFormatPr baseColWidth="10" defaultColWidth="9.140625" defaultRowHeight="12.75" x14ac:dyDescent="0.2"/>
  <cols>
    <col min="1" max="1" width="10.42578125" style="1" bestFit="1" customWidth="1"/>
    <col min="2" max="2" width="9.140625" style="1" customWidth="1"/>
    <col min="3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9" t="s">
        <v>0</v>
      </c>
      <c r="B1" s="70"/>
      <c r="E1" s="2"/>
      <c r="G1" s="71" t="s">
        <v>1</v>
      </c>
      <c r="H1" s="72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110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0.3</v>
      </c>
      <c r="D4" s="9"/>
    </row>
    <row r="5" spans="1:8" x14ac:dyDescent="0.2">
      <c r="A5" s="7" t="s">
        <v>6</v>
      </c>
      <c r="B5" s="11">
        <v>15</v>
      </c>
      <c r="D5" s="12"/>
    </row>
    <row r="6" spans="1:8" ht="15.75" thickBot="1" x14ac:dyDescent="0.3">
      <c r="A6" s="7" t="s">
        <v>7</v>
      </c>
      <c r="B6" s="8">
        <f>EXP(0.02*B3/B5)</f>
        <v>1.0003333888950623</v>
      </c>
      <c r="D6" s="12"/>
    </row>
    <row r="7" spans="1:8" x14ac:dyDescent="0.2">
      <c r="A7" s="13" t="s">
        <v>8</v>
      </c>
      <c r="B7" s="14">
        <f>EXP(B4 * SQRT(B3/B5))</f>
        <v>1.0394896104013376</v>
      </c>
      <c r="G7" s="17"/>
    </row>
    <row r="8" spans="1:8" x14ac:dyDescent="0.2">
      <c r="A8" s="15" t="s">
        <v>9</v>
      </c>
      <c r="B8" s="16">
        <f>1/B7</f>
        <v>0.96201057710803761</v>
      </c>
      <c r="G8" s="17"/>
    </row>
    <row r="9" spans="1:8" x14ac:dyDescent="0.2">
      <c r="A9" s="15" t="s">
        <v>10</v>
      </c>
      <c r="B9" s="18">
        <f>(B6 - B8) / (B7 - B8)</f>
        <v>0.49462170806845446</v>
      </c>
    </row>
    <row r="10" spans="1:8" ht="13.5" thickBot="1" x14ac:dyDescent="0.25">
      <c r="A10" s="19" t="s">
        <v>11</v>
      </c>
      <c r="B10" s="20">
        <f>1 - B9</f>
        <v>0.50537829193154549</v>
      </c>
      <c r="D10" s="21"/>
      <c r="F10" s="17"/>
      <c r="G10" s="22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73" t="s">
        <v>12</v>
      </c>
      <c r="C13" s="74"/>
      <c r="D13" s="23"/>
      <c r="E13" s="24"/>
      <c r="F13" s="22"/>
      <c r="G13" s="22"/>
    </row>
    <row r="14" spans="1:8" x14ac:dyDescent="0.2">
      <c r="A14" s="22"/>
      <c r="B14" s="35"/>
      <c r="C14" s="36"/>
      <c r="D14" s="36"/>
      <c r="E14" s="37">
        <f>B2 * (B7 ^ (3)) * (B8 ^ (0))</f>
        <v>112.32087004496374</v>
      </c>
      <c r="F14" s="22"/>
      <c r="G14" s="22"/>
    </row>
    <row r="15" spans="1:8" x14ac:dyDescent="0.2">
      <c r="A15" s="22"/>
      <c r="B15" s="35"/>
      <c r="C15" s="36"/>
      <c r="D15" s="36">
        <f>B2 * (B7 ^ (2)) * (B8 ^ (0))</f>
        <v>108.05386501323247</v>
      </c>
      <c r="E15" s="37">
        <f>B2 * (B7 ^ (2)) * (B8 ^ (1))</f>
        <v>103.94896104013377</v>
      </c>
      <c r="F15" s="22"/>
      <c r="G15" s="22"/>
    </row>
    <row r="16" spans="1:8" x14ac:dyDescent="0.2">
      <c r="A16" s="22"/>
      <c r="B16" s="35"/>
      <c r="C16" s="36">
        <f>B2 * (B7 ^ (1)) * (B8 ^ (0))</f>
        <v>103.94896104013375</v>
      </c>
      <c r="D16" s="36">
        <f>B2 * (B7 ^ (1)) * (B8 ^ (1))</f>
        <v>99.999999999999986</v>
      </c>
      <c r="E16" s="37">
        <f>B2 * (B7 ^ (1)) * (B8 ^ (2))</f>
        <v>96.201057710803752</v>
      </c>
      <c r="F16" s="22"/>
      <c r="G16" s="28"/>
    </row>
    <row r="17" spans="1:7" x14ac:dyDescent="0.2">
      <c r="A17" s="22"/>
      <c r="B17" s="35">
        <f>B2 * (B7 ^ (0)) * (B8 ^ (0))</f>
        <v>100</v>
      </c>
      <c r="C17" s="36">
        <f>B2 * (B7 ^ (0)) * (B8 ^ (1))</f>
        <v>96.201057710803767</v>
      </c>
      <c r="D17" s="36">
        <f>B2 * (B7 ^ (0)) * (B8 ^ (2))</f>
        <v>92.546435046773951</v>
      </c>
      <c r="E17" s="37">
        <f>B2 * (B7 ^ (0)) * (B8 ^ (3))</f>
        <v>89.030649388638523</v>
      </c>
      <c r="F17" s="22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73" t="s">
        <v>17</v>
      </c>
      <c r="C22" s="74"/>
      <c r="D22" s="23"/>
      <c r="E22" s="24"/>
      <c r="F22" s="22"/>
      <c r="G22" s="22"/>
    </row>
    <row r="23" spans="1:7" x14ac:dyDescent="0.2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">
      <c r="A24" s="22"/>
      <c r="B24" s="29"/>
      <c r="C24" s="30"/>
      <c r="D24" s="30">
        <f>MAX(MAX($H$2 - $D$15, 0),  ($B$9 *$E$23 + $B$10 *$E$24)/$B$6)</f>
        <v>3.0570445492440039</v>
      </c>
      <c r="E24" s="31">
        <f>MAX( $H$2 - $E$15, 0)</f>
        <v>6.0510389598662329</v>
      </c>
      <c r="F24" s="22"/>
      <c r="G24" s="22"/>
    </row>
    <row r="25" spans="1:7" x14ac:dyDescent="0.2">
      <c r="A25" s="22"/>
      <c r="B25" s="29"/>
      <c r="C25" s="30">
        <f>MAX(MAX($H$2 - $C$16, 0),  ($B$9 *$D$24 + $B$10 *$D$25)/$B$6)</f>
        <v>6.5636752594615899</v>
      </c>
      <c r="D25" s="30">
        <f>MAX(MAX($H$2 - $D$16, 0),  ($B$9 *$E$24 + $B$10 *$E$25)/$B$6)</f>
        <v>10.000000000000014</v>
      </c>
      <c r="E25" s="31">
        <f>MAX( $H$2 - $E$16, 0)</f>
        <v>13.798942289196248</v>
      </c>
      <c r="F25" s="22"/>
      <c r="G25" s="28"/>
    </row>
    <row r="26" spans="1:7" x14ac:dyDescent="0.2">
      <c r="A26" s="22"/>
      <c r="B26" s="29">
        <f>MAX(MAX($H$2 - $B$17, 0),  ($B$9 *$C$25 + $B$10 *$C$26)/$B$6)</f>
        <v>10.216815979627007</v>
      </c>
      <c r="C26" s="30">
        <f>MAX(MAX($H$2 - $C$17, 0),  ($B$9 *$D$25 + $B$10 *$D$26)/$B$6)</f>
        <v>13.798942289196233</v>
      </c>
      <c r="D26" s="38">
        <f>MAX(MAX($H$2 - $D$17, 0),  ($B$9 *$E$25 + $B$10 *$E$26)/$B$6)</f>
        <v>17.453564953226049</v>
      </c>
      <c r="E26" s="31">
        <f>MAX( $H$2 - $E$17, 0)</f>
        <v>20.969350611361477</v>
      </c>
      <c r="F26" s="22"/>
    </row>
    <row r="27" spans="1:7" x14ac:dyDescent="0.2">
      <c r="A27" s="22"/>
      <c r="B27" s="29"/>
      <c r="C27" s="30"/>
      <c r="D27" s="30"/>
      <c r="E27" s="31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46"/>
  <sheetViews>
    <sheetView showGridLines="0" workbookViewId="0">
      <selection activeCell="L32" sqref="L32"/>
    </sheetView>
  </sheetViews>
  <sheetFormatPr baseColWidth="10" defaultColWidth="9.140625"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69" t="s">
        <v>0</v>
      </c>
      <c r="B1" s="70"/>
      <c r="F1" s="69" t="s">
        <v>1</v>
      </c>
      <c r="G1" s="70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0.3</v>
      </c>
    </row>
    <row r="5" spans="1:23" x14ac:dyDescent="0.2">
      <c r="A5" s="7" t="s">
        <v>6</v>
      </c>
      <c r="B5" s="11">
        <v>15</v>
      </c>
    </row>
    <row r="6" spans="1:23" ht="15" x14ac:dyDescent="0.25">
      <c r="A6" s="7" t="s">
        <v>22</v>
      </c>
      <c r="B6" s="46">
        <v>0.02</v>
      </c>
    </row>
    <row r="7" spans="1:23" ht="15.75" thickBot="1" x14ac:dyDescent="0.3">
      <c r="A7" s="47" t="s">
        <v>23</v>
      </c>
      <c r="B7" s="48">
        <v>0.01</v>
      </c>
    </row>
    <row r="8" spans="1:23" x14ac:dyDescent="0.2">
      <c r="A8" s="13" t="s">
        <v>8</v>
      </c>
      <c r="B8" s="14">
        <f>EXP(B4*SQRT(B3/B5))</f>
        <v>1.0394896104013376</v>
      </c>
    </row>
    <row r="9" spans="1:23" x14ac:dyDescent="0.2">
      <c r="A9" s="15" t="s">
        <v>9</v>
      </c>
      <c r="B9" s="16">
        <f>1/B8</f>
        <v>0.96201057710803761</v>
      </c>
    </row>
    <row r="10" spans="1:23" x14ac:dyDescent="0.2">
      <c r="A10" s="15" t="s">
        <v>10</v>
      </c>
      <c r="B10" s="18">
        <f>(EXP((B6 - B7) * B3/B5) - B9) / (B8 - B9)</f>
        <v>0.49247005062451049</v>
      </c>
    </row>
    <row r="11" spans="1:23" ht="13.5" thickBot="1" x14ac:dyDescent="0.25">
      <c r="A11" s="19" t="s">
        <v>11</v>
      </c>
      <c r="B11" s="20">
        <f>1 - B10</f>
        <v>0.50752994937548945</v>
      </c>
    </row>
    <row r="14" spans="1:23" x14ac:dyDescent="0.2">
      <c r="A14" s="53" t="s">
        <v>32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ca="1">IF($A16&lt;L$15,$B$9*OFFSET(L16,0,-1),IF($A16=L$15,$B$8*OFFSET(L16,1,-1),""))</f>
        <v>147.29958713933715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2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141.70376083168941</v>
      </c>
      <c r="L17" s="55">
        <f t="shared" ca="1" si="0"/>
        <v>136.32051673607288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2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136.32051673607288</v>
      </c>
      <c r="K18" s="55">
        <f t="shared" ca="1" si="0"/>
        <v>131.14177897693537</v>
      </c>
      <c r="L18" s="55">
        <f t="shared" ca="1" si="0"/>
        <v>126.15977847657631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131.14177897693537</v>
      </c>
      <c r="J19" s="55">
        <f t="shared" ca="1" si="0"/>
        <v>126.15977847657631</v>
      </c>
      <c r="K19" s="55">
        <f t="shared" ca="1" si="0"/>
        <v>121.36704130007335</v>
      </c>
      <c r="L19" s="55">
        <f t="shared" ca="1" si="0"/>
        <v>116.7563774429786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126.15977847657631</v>
      </c>
      <c r="I20" s="55">
        <f t="shared" ca="1" si="0"/>
        <v>121.36704130007335</v>
      </c>
      <c r="J20" s="55">
        <f t="shared" ca="1" si="0"/>
        <v>116.7563774429786</v>
      </c>
      <c r="K20" s="55">
        <f t="shared" ca="1" si="0"/>
        <v>112.32087004496371</v>
      </c>
      <c r="L20" s="55">
        <f t="shared" ca="1" si="0"/>
        <v>108.05386501323244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121.36704130007337</v>
      </c>
      <c r="H21" s="55">
        <f t="shared" ca="1" si="0"/>
        <v>116.75637744297862</v>
      </c>
      <c r="I21" s="55">
        <f t="shared" ca="1" si="0"/>
        <v>112.32087004496373</v>
      </c>
      <c r="J21" s="55">
        <f t="shared" ca="1" si="0"/>
        <v>108.05386501323245</v>
      </c>
      <c r="K21" s="55">
        <f t="shared" ca="1" si="0"/>
        <v>103.94896104013375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116.75637744297862</v>
      </c>
      <c r="G22" s="55">
        <f t="shared" ca="1" si="0"/>
        <v>112.32087004496373</v>
      </c>
      <c r="H22" s="55">
        <f t="shared" ca="1" si="0"/>
        <v>108.05386501323245</v>
      </c>
      <c r="I22" s="55">
        <f t="shared" ca="1" si="0"/>
        <v>103.94896104013375</v>
      </c>
      <c r="J22" s="55">
        <f t="shared" ca="1" si="0"/>
        <v>99.999999999999986</v>
      </c>
      <c r="K22" s="55">
        <f t="shared" ca="1" si="0"/>
        <v>96.201057710803752</v>
      </c>
      <c r="L22" s="55">
        <f t="shared" ca="1" si="0"/>
        <v>92.546435046773951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112.32087004496373</v>
      </c>
      <c r="F23" s="55">
        <f t="shared" ca="1" si="0"/>
        <v>108.05386501323245</v>
      </c>
      <c r="G23" s="55">
        <f t="shared" ca="1" si="0"/>
        <v>103.94896104013375</v>
      </c>
      <c r="H23" s="55">
        <f t="shared" ca="1" si="0"/>
        <v>99.999999999999986</v>
      </c>
      <c r="I23" s="55">
        <f t="shared" ca="1" si="0"/>
        <v>96.201057710803752</v>
      </c>
      <c r="J23" s="55">
        <f t="shared" ca="1" si="0"/>
        <v>92.546435046773951</v>
      </c>
      <c r="K23" s="55">
        <f t="shared" ca="1" si="0"/>
        <v>89.030649388638523</v>
      </c>
      <c r="L23" s="55">
        <f t="shared" ca="1" si="0"/>
        <v>85.648426398667496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">
      <c r="A24" s="49">
        <v>2</v>
      </c>
      <c r="C24" s="55" t="str">
        <f t="shared" ca="1" si="0"/>
        <v/>
      </c>
      <c r="D24" s="55">
        <f t="shared" ca="1" si="0"/>
        <v>108.05386501323245</v>
      </c>
      <c r="E24" s="55">
        <f t="shared" ca="1" si="0"/>
        <v>103.94896104013375</v>
      </c>
      <c r="F24" s="55">
        <f t="shared" ca="1" si="0"/>
        <v>99.999999999999986</v>
      </c>
      <c r="G24" s="55">
        <f t="shared" ca="1" si="0"/>
        <v>96.201057710803752</v>
      </c>
      <c r="H24" s="55">
        <f t="shared" ca="1" si="0"/>
        <v>92.546435046773951</v>
      </c>
      <c r="I24" s="55">
        <f t="shared" ca="1" si="0"/>
        <v>89.030649388638523</v>
      </c>
      <c r="J24" s="55">
        <f t="shared" ca="1" si="0"/>
        <v>85.648426398667496</v>
      </c>
      <c r="K24" s="55">
        <f t="shared" ca="1" si="0"/>
        <v>82.394692108177395</v>
      </c>
      <c r="L24" s="55">
        <f t="shared" ca="1" si="0"/>
        <v>79.264565305626803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">
      <c r="A25" s="49">
        <v>1</v>
      </c>
      <c r="C25" s="55">
        <f ca="1">IF($A25&lt;C$15,$B$9*OFFSET(C25,0,-1),IF($A25=C$15,$B$8*OFFSET(C25,1,-1),""))</f>
        <v>103.94896104013375</v>
      </c>
      <c r="D25" s="55">
        <f t="shared" ca="1" si="0"/>
        <v>99.999999999999986</v>
      </c>
      <c r="E25" s="55">
        <f t="shared" ca="1" si="0"/>
        <v>96.201057710803752</v>
      </c>
      <c r="F25" s="55">
        <f t="shared" ca="1" si="0"/>
        <v>92.546435046773951</v>
      </c>
      <c r="G25" s="55">
        <f t="shared" ca="1" si="0"/>
        <v>89.030649388638523</v>
      </c>
      <c r="H25" s="55">
        <f t="shared" ca="1" si="0"/>
        <v>85.648426398667496</v>
      </c>
      <c r="I25" s="55">
        <f t="shared" ca="1" si="0"/>
        <v>82.394692108177395</v>
      </c>
      <c r="J25" s="55">
        <f t="shared" ca="1" si="0"/>
        <v>79.264565305626803</v>
      </c>
      <c r="K25" s="55">
        <f t="shared" ca="1" si="0"/>
        <v>76.253350213883778</v>
      </c>
      <c r="L25" s="55">
        <f t="shared" ca="1" si="0"/>
        <v>73.356529445679641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">
      <c r="A26" s="49">
        <v>0</v>
      </c>
      <c r="B26" s="55">
        <f>$B$2</f>
        <v>100</v>
      </c>
      <c r="C26" s="55">
        <f t="shared" ca="1" si="0"/>
        <v>96.201057710803767</v>
      </c>
      <c r="D26" s="55">
        <f t="shared" ca="1" si="0"/>
        <v>92.546435046773965</v>
      </c>
      <c r="E26" s="55">
        <f t="shared" ca="1" si="0"/>
        <v>89.030649388638537</v>
      </c>
      <c r="F26" s="55">
        <f t="shared" ca="1" si="0"/>
        <v>85.64842639866751</v>
      </c>
      <c r="G26" s="55">
        <f t="shared" ca="1" si="0"/>
        <v>82.394692108177409</v>
      </c>
      <c r="H26" s="55">
        <f t="shared" ca="1" si="0"/>
        <v>79.264565305626817</v>
      </c>
      <c r="I26" s="55">
        <f t="shared" ca="1" si="0"/>
        <v>76.253350213883792</v>
      </c>
      <c r="J26" s="55">
        <f t="shared" ca="1" si="0"/>
        <v>73.356529445679655</v>
      </c>
      <c r="K26" s="55">
        <f t="shared" ca="1" si="0"/>
        <v>70.569757226681034</v>
      </c>
      <c r="L26" s="55">
        <f t="shared" ca="1" si="0"/>
        <v>67.88885287601353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">
      <c r="A29" s="58" t="s">
        <v>33</v>
      </c>
    </row>
    <row r="30" spans="1:24" x14ac:dyDescent="0.2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ca="1">MAX($G$2*(L16-$G$3),0)</f>
        <v>47.299587139337149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41.713473284610927</v>
      </c>
      <c r="L32" s="56">
        <f ca="1">MAX($G$2*(L17-$G$3),0)</f>
        <v>36.320516736072875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36.341728585730031</v>
      </c>
      <c r="K33" s="59">
        <f t="shared" ca="1" si="1"/>
        <v>31.153251613479966</v>
      </c>
      <c r="L33" s="56">
        <f t="shared" ref="L33:L40" ca="1" si="2">MAX($G$2*(L18-$G$3),0)</f>
        <v>26.159778476576307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31.176174494099989</v>
      </c>
      <c r="J34" s="59">
        <f t="shared" ca="1" si="1"/>
        <v>26.18437667456389</v>
      </c>
      <c r="K34" s="59">
        <f t="shared" ca="1" si="1"/>
        <v>21.380142923811395</v>
      </c>
      <c r="L34" s="56">
        <f t="shared" ca="1" si="2"/>
        <v>16.756377442978604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26.208944470806625</v>
      </c>
      <c r="I35" s="59">
        <f t="shared" ca="1" si="1"/>
        <v>21.406322964437816</v>
      </c>
      <c r="J35" s="59">
        <f t="shared" ca="1" si="1"/>
        <v>16.784109585624261</v>
      </c>
      <c r="K35" s="59">
        <f t="shared" ca="1" si="1"/>
        <v>12.335479238276651</v>
      </c>
      <c r="L35" s="56">
        <f t="shared" ca="1" si="2"/>
        <v>8.0538650132324392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21.432472083526388</v>
      </c>
      <c r="H36" s="59">
        <f t="shared" ca="1" si="1"/>
        <v>16.811810282050942</v>
      </c>
      <c r="I36" s="59">
        <f t="shared" ca="1" si="1"/>
        <v>12.364673664372768</v>
      </c>
      <c r="J36" s="59">
        <f t="shared" ca="1" si="1"/>
        <v>8.0844975099354865</v>
      </c>
      <c r="K36" s="59">
        <f t="shared" ca="1" si="1"/>
        <v>3.9649654353441037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16.966614667198865</v>
      </c>
      <c r="G37" s="59">
        <f t="shared" ca="1" si="1"/>
        <v>12.64441742606448</v>
      </c>
      <c r="H37" s="59">
        <f t="shared" ca="1" si="1"/>
        <v>8.6089892411353759</v>
      </c>
      <c r="I37" s="59">
        <f t="shared" ca="1" si="1"/>
        <v>4.9704020820858767</v>
      </c>
      <c r="J37" s="59">
        <f t="shared" ca="1" si="1"/>
        <v>1.9519759615593326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12.985291276009317</v>
      </c>
      <c r="F38" s="59">
        <f t="shared" ca="1" si="1"/>
        <v>9.1306352453487296</v>
      </c>
      <c r="G38" s="59">
        <f t="shared" ca="1" si="1"/>
        <v>5.7271150429440079</v>
      </c>
      <c r="H38" s="59">
        <f t="shared" ca="1" si="1"/>
        <v>2.9345165421762811</v>
      </c>
      <c r="I38" s="59">
        <f t="shared" ca="1" si="1"/>
        <v>0.96096932410579972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9.6191622626457409</v>
      </c>
      <c r="E39" s="59">
        <f t="shared" ca="1" si="1"/>
        <v>6.3592348322005368</v>
      </c>
      <c r="F39" s="59">
        <f t="shared" ca="1" si="1"/>
        <v>3.6742472661139787</v>
      </c>
      <c r="G39" s="59">
        <f t="shared" ca="1" si="1"/>
        <v>1.6847076419259603</v>
      </c>
      <c r="H39" s="59">
        <f t="shared" ca="1" si="1"/>
        <v>0.47309088844242297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49">
        <v>1</v>
      </c>
      <c r="B40" s="59" t="str">
        <f t="shared" si="1"/>
        <v/>
      </c>
      <c r="C40" s="59">
        <f t="shared" ca="1" si="1"/>
        <v>6.9133387498652352</v>
      </c>
      <c r="D40" s="59">
        <f t="shared" ca="1" si="1"/>
        <v>4.2923462082628427</v>
      </c>
      <c r="E40" s="59">
        <f t="shared" ca="1" si="1"/>
        <v>2.2896077965554062</v>
      </c>
      <c r="F40" s="59">
        <f t="shared" ca="1" si="1"/>
        <v>0.94755864123972533</v>
      </c>
      <c r="G40" s="59">
        <f t="shared" ca="1" si="1"/>
        <v>0.23290544569204144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49">
        <v>0</v>
      </c>
      <c r="B41" s="59">
        <f t="shared" ca="1" si="1"/>
        <v>4.8342829229578106</v>
      </c>
      <c r="C41" s="59">
        <f t="shared" ca="1" si="1"/>
        <v>2.82009433498569</v>
      </c>
      <c r="D41" s="59">
        <f t="shared" ca="1" si="1"/>
        <v>1.3933809610823082</v>
      </c>
      <c r="E41" s="59">
        <f t="shared" ca="1" si="1"/>
        <v>0.52466308967395336</v>
      </c>
      <c r="F41" s="59">
        <f t="shared" ca="1" si="1"/>
        <v>0.11466073001659656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">
      <c r="M46" s="49" t="s">
        <v>34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"/>
  <sheetViews>
    <sheetView tabSelected="1" topLeftCell="A53" zoomScale="70" zoomScaleNormal="70" workbookViewId="0">
      <selection sqref="A1:H13"/>
    </sheetView>
  </sheetViews>
  <sheetFormatPr baseColWidth="10" defaultRowHeight="15" x14ac:dyDescent="0.25"/>
  <cols>
    <col min="18" max="18" width="13.5703125" bestFit="1" customWidth="1"/>
  </cols>
  <sheetData>
    <row r="1" spans="1:27" ht="15.75" thickBot="1" x14ac:dyDescent="0.3">
      <c r="A1" s="69" t="s">
        <v>0</v>
      </c>
      <c r="B1" s="70"/>
      <c r="F1" s="69" t="s">
        <v>1</v>
      </c>
      <c r="G1" s="70"/>
    </row>
    <row r="2" spans="1:27" x14ac:dyDescent="0.25">
      <c r="A2" s="3" t="s">
        <v>2</v>
      </c>
      <c r="B2" s="4">
        <v>100</v>
      </c>
      <c r="F2" s="50" t="s">
        <v>20</v>
      </c>
      <c r="G2" s="42">
        <f>1</f>
        <v>1</v>
      </c>
    </row>
    <row r="3" spans="1:27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27" x14ac:dyDescent="0.25">
      <c r="A4" s="7" t="s">
        <v>5</v>
      </c>
      <c r="B4" s="10">
        <v>0.3</v>
      </c>
    </row>
    <row r="5" spans="1:27" x14ac:dyDescent="0.25">
      <c r="A5" s="7" t="s">
        <v>6</v>
      </c>
      <c r="B5" s="11">
        <v>15</v>
      </c>
    </row>
    <row r="6" spans="1:27" x14ac:dyDescent="0.25">
      <c r="A6" s="7" t="s">
        <v>22</v>
      </c>
      <c r="B6" s="46">
        <v>0.02</v>
      </c>
    </row>
    <row r="7" spans="1:27" ht="15.75" thickBot="1" x14ac:dyDescent="0.3">
      <c r="A7" s="47" t="s">
        <v>23</v>
      </c>
      <c r="B7" s="48">
        <v>0.01</v>
      </c>
      <c r="S7">
        <f ca="1">S7:Y24</f>
        <v>0</v>
      </c>
    </row>
    <row r="8" spans="1:27" x14ac:dyDescent="0.25">
      <c r="A8" s="13" t="s">
        <v>8</v>
      </c>
      <c r="B8" s="14">
        <f>EXP(B4*SQRT(B3/B5))</f>
        <v>1.0394896104013376</v>
      </c>
    </row>
    <row r="9" spans="1:27" x14ac:dyDescent="0.25">
      <c r="A9" s="15" t="s">
        <v>9</v>
      </c>
      <c r="B9" s="16">
        <f>1/B8</f>
        <v>0.96201057710803761</v>
      </c>
      <c r="S9" s="55"/>
      <c r="T9" s="55"/>
      <c r="U9" s="55"/>
      <c r="V9" s="55"/>
      <c r="W9" s="55"/>
      <c r="X9" s="55"/>
      <c r="Y9" s="55"/>
      <c r="Z9" s="55"/>
      <c r="AA9" s="55"/>
    </row>
    <row r="10" spans="1:27" x14ac:dyDescent="0.25">
      <c r="A10" s="15" t="s">
        <v>10</v>
      </c>
      <c r="B10" s="18">
        <f>(EXP((B6 - B7) * B3/B5) - B9) / (B8 - B9)</f>
        <v>0.49247005062451049</v>
      </c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15.75" thickBot="1" x14ac:dyDescent="0.3">
      <c r="A11" s="19" t="s">
        <v>11</v>
      </c>
      <c r="B11" s="20">
        <f>1 - B10</f>
        <v>0.50752994937548945</v>
      </c>
      <c r="S11" s="55"/>
      <c r="T11" s="55"/>
      <c r="U11" s="55"/>
      <c r="V11" s="55"/>
      <c r="W11" s="55"/>
      <c r="X11" s="55"/>
      <c r="Y11" s="55"/>
      <c r="Z11" s="55"/>
      <c r="AA11" s="55"/>
    </row>
    <row r="12" spans="1:27" x14ac:dyDescent="0.25">
      <c r="A12" s="15" t="s">
        <v>7</v>
      </c>
      <c r="B12">
        <f>EXP($B$6*$B$3/$B$5)</f>
        <v>1.0003333888950623</v>
      </c>
      <c r="S12" s="55"/>
      <c r="T12" s="55"/>
      <c r="U12" s="55"/>
      <c r="V12" s="55"/>
      <c r="W12" s="55"/>
      <c r="X12" s="55"/>
      <c r="Y12" s="55"/>
      <c r="Z12" s="55"/>
      <c r="AA12" s="55"/>
    </row>
    <row r="13" spans="1:27" x14ac:dyDescent="0.25">
      <c r="A13" s="15" t="s">
        <v>37</v>
      </c>
      <c r="B13">
        <f>1 / $B$12</f>
        <v>0.9996667222160498</v>
      </c>
      <c r="S13" s="55"/>
      <c r="T13" s="55"/>
      <c r="U13" s="55"/>
      <c r="V13" s="55"/>
      <c r="W13" s="55"/>
      <c r="X13" s="55"/>
      <c r="Y13" s="55"/>
      <c r="Z13" s="55"/>
      <c r="AA13" s="55"/>
    </row>
    <row r="14" spans="1:27" x14ac:dyDescent="0.25">
      <c r="A14" s="53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S14" s="55"/>
      <c r="T14" s="55"/>
      <c r="U14" s="55"/>
      <c r="V14" s="55"/>
      <c r="W14" s="55"/>
      <c r="X14" s="55"/>
      <c r="Y14" s="55"/>
      <c r="Z14" s="55"/>
      <c r="AA14" s="55"/>
    </row>
    <row r="15" spans="1:27" x14ac:dyDescent="0.25">
      <c r="A15" s="49"/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61">
        <v>11</v>
      </c>
      <c r="N15" s="61">
        <v>12</v>
      </c>
      <c r="O15" s="61">
        <v>13</v>
      </c>
      <c r="P15" s="61">
        <v>14</v>
      </c>
      <c r="Q15" s="61">
        <v>15</v>
      </c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>
        <v>15</v>
      </c>
      <c r="Q16">
        <f>P17*$B$8</f>
        <v>178.77315075823685</v>
      </c>
      <c r="S16" s="55"/>
      <c r="T16" s="55"/>
      <c r="U16" s="55"/>
      <c r="V16" s="55"/>
      <c r="W16" s="55"/>
      <c r="X16" s="55"/>
      <c r="Y16" s="55"/>
      <c r="Z16" s="55"/>
      <c r="AA16" s="55"/>
    </row>
    <row r="17" spans="1:27" x14ac:dyDescent="0.25">
      <c r="A17">
        <v>14</v>
      </c>
      <c r="P17">
        <f>O18*$B$8</f>
        <v>171.98166193235366</v>
      </c>
      <c r="Q17">
        <f t="shared" ref="Q17:Q30" si="0">P18*$B$8</f>
        <v>165.44817784754298</v>
      </c>
      <c r="S17" s="55"/>
      <c r="T17" s="55"/>
      <c r="U17" s="55"/>
      <c r="V17" s="55"/>
      <c r="W17" s="55"/>
      <c r="X17" s="55"/>
      <c r="Y17" s="55"/>
      <c r="Z17" s="55"/>
      <c r="AA17" s="55"/>
    </row>
    <row r="18" spans="1:27" x14ac:dyDescent="0.25">
      <c r="A18">
        <v>13</v>
      </c>
      <c r="O18">
        <f>N19*$B$8</f>
        <v>165.44817784754298</v>
      </c>
      <c r="P18">
        <f t="shared" ref="P18:P30" si="1">O19*$B$8</f>
        <v>159.16289705258808</v>
      </c>
      <c r="Q18">
        <f t="shared" si="0"/>
        <v>153.11639044774745</v>
      </c>
      <c r="S18" s="55"/>
      <c r="T18" s="55"/>
      <c r="U18" s="55"/>
      <c r="V18" s="55"/>
      <c r="W18" s="55"/>
      <c r="X18" s="55"/>
      <c r="Y18" s="55"/>
      <c r="Z18" s="55"/>
      <c r="AA18" s="55"/>
    </row>
    <row r="19" spans="1:27" x14ac:dyDescent="0.25">
      <c r="A19">
        <v>12</v>
      </c>
      <c r="N19">
        <f>M20*$B$8</f>
        <v>159.16289705258808</v>
      </c>
      <c r="O19">
        <f t="shared" ref="O19:O30" si="2">N20*$B$8</f>
        <v>153.11639044774745</v>
      </c>
      <c r="P19">
        <f t="shared" si="1"/>
        <v>147.29958713933715</v>
      </c>
      <c r="Q19">
        <f t="shared" si="0"/>
        <v>141.70376083168938</v>
      </c>
      <c r="S19" s="55"/>
      <c r="T19" s="55"/>
      <c r="U19" s="55"/>
      <c r="V19" s="55"/>
      <c r="W19" s="55"/>
      <c r="X19" s="55"/>
      <c r="Y19" s="55"/>
      <c r="Z19" s="55"/>
      <c r="AA19" s="55"/>
    </row>
    <row r="20" spans="1:27" x14ac:dyDescent="0.25">
      <c r="A20">
        <v>11</v>
      </c>
      <c r="M20">
        <f>L21*$B$8</f>
        <v>153.11639044774745</v>
      </c>
      <c r="N20">
        <f t="shared" ref="N20:N30" si="3">M21*$B$8</f>
        <v>147.29958713933715</v>
      </c>
      <c r="O20">
        <f t="shared" si="2"/>
        <v>141.70376083168941</v>
      </c>
      <c r="P20">
        <f t="shared" si="1"/>
        <v>136.32051673607285</v>
      </c>
      <c r="Q20">
        <f t="shared" si="0"/>
        <v>131.14177897693534</v>
      </c>
    </row>
    <row r="21" spans="1:27" x14ac:dyDescent="0.25">
      <c r="A21" s="49">
        <v>10</v>
      </c>
      <c r="B21" s="54"/>
      <c r="C21" s="55" t="str">
        <f t="shared" ref="C21:K29" ca="1" si="4">IF($A21&lt;C$15,$B$9*OFFSET(C21,0,-1),IF($A21=C$15,$B$8*OFFSET(C21,1,-1),""))</f>
        <v/>
      </c>
      <c r="D21" s="55" t="str">
        <f t="shared" ca="1" si="4"/>
        <v/>
      </c>
      <c r="E21" s="55" t="str">
        <f t="shared" ca="1" si="4"/>
        <v/>
      </c>
      <c r="F21" s="55" t="str">
        <f t="shared" ca="1" si="4"/>
        <v/>
      </c>
      <c r="G21" s="55" t="str">
        <f t="shared" ca="1" si="4"/>
        <v/>
      </c>
      <c r="H21" s="55" t="str">
        <f t="shared" ca="1" si="4"/>
        <v/>
      </c>
      <c r="I21" s="55" t="str">
        <f t="shared" ca="1" si="4"/>
        <v/>
      </c>
      <c r="J21" s="55" t="str">
        <f t="shared" ca="1" si="4"/>
        <v/>
      </c>
      <c r="K21" s="55" t="str">
        <f t="shared" ca="1" si="4"/>
        <v/>
      </c>
      <c r="L21" s="55">
        <f>$B$8*K22</f>
        <v>147.29958713933715</v>
      </c>
      <c r="M21">
        <f t="shared" ref="M21:M30" si="5">L22*$B$8</f>
        <v>141.70376083168941</v>
      </c>
      <c r="N21">
        <f t="shared" si="3"/>
        <v>136.32051673607288</v>
      </c>
      <c r="O21">
        <f t="shared" si="2"/>
        <v>131.14177897693534</v>
      </c>
      <c r="P21">
        <f t="shared" si="1"/>
        <v>126.15977847657628</v>
      </c>
      <c r="Q21">
        <f t="shared" si="0"/>
        <v>121.36704130007332</v>
      </c>
    </row>
    <row r="22" spans="1:27" x14ac:dyDescent="0.25">
      <c r="A22" s="49">
        <v>9</v>
      </c>
      <c r="B22" s="54"/>
      <c r="C22" s="55" t="str">
        <f t="shared" ca="1" si="4"/>
        <v/>
      </c>
      <c r="D22" s="55" t="str">
        <f t="shared" ca="1" si="4"/>
        <v/>
      </c>
      <c r="E22" s="55" t="str">
        <f t="shared" ca="1" si="4"/>
        <v/>
      </c>
      <c r="F22" s="55" t="str">
        <f t="shared" ca="1" si="4"/>
        <v/>
      </c>
      <c r="G22" s="55" t="str">
        <f t="shared" ca="1" si="4"/>
        <v/>
      </c>
      <c r="H22" s="55" t="str">
        <f t="shared" ca="1" si="4"/>
        <v/>
      </c>
      <c r="I22" s="55" t="str">
        <f t="shared" ca="1" si="4"/>
        <v/>
      </c>
      <c r="J22" s="55" t="str">
        <f t="shared" ca="1" si="4"/>
        <v/>
      </c>
      <c r="K22" s="55">
        <f>$B$8*J23</f>
        <v>141.70376083168941</v>
      </c>
      <c r="L22" s="55">
        <f t="shared" ref="L22:L30" si="6">$B$8*K23</f>
        <v>136.32051673607288</v>
      </c>
      <c r="M22">
        <f t="shared" si="5"/>
        <v>131.14177897693537</v>
      </c>
      <c r="N22">
        <f t="shared" si="3"/>
        <v>126.15977847657629</v>
      </c>
      <c r="O22">
        <f t="shared" si="2"/>
        <v>121.36704130007334</v>
      </c>
      <c r="P22">
        <f t="shared" si="1"/>
        <v>116.75637744297858</v>
      </c>
      <c r="Q22">
        <f t="shared" si="0"/>
        <v>112.32087004496367</v>
      </c>
    </row>
    <row r="23" spans="1:27" x14ac:dyDescent="0.25">
      <c r="A23" s="49">
        <v>8</v>
      </c>
      <c r="B23" s="54"/>
      <c r="C23" s="55" t="str">
        <f t="shared" ca="1" si="4"/>
        <v/>
      </c>
      <c r="D23" s="55" t="str">
        <f t="shared" ca="1" si="4"/>
        <v/>
      </c>
      <c r="E23" s="55" t="str">
        <f t="shared" ca="1" si="4"/>
        <v/>
      </c>
      <c r="F23" s="55" t="str">
        <f t="shared" ca="1" si="4"/>
        <v/>
      </c>
      <c r="G23" s="55" t="str">
        <f t="shared" ca="1" si="4"/>
        <v/>
      </c>
      <c r="H23" s="55" t="str">
        <f t="shared" ca="1" si="4"/>
        <v/>
      </c>
      <c r="I23" s="55" t="str">
        <f t="shared" ca="1" si="4"/>
        <v/>
      </c>
      <c r="J23" s="55">
        <f>$B$8*I24</f>
        <v>136.32051673607288</v>
      </c>
      <c r="K23" s="55">
        <f t="shared" ref="K23:K30" si="7">$B$8*J24</f>
        <v>131.14177897693537</v>
      </c>
      <c r="L23" s="55">
        <f t="shared" si="6"/>
        <v>126.15977847657631</v>
      </c>
      <c r="M23">
        <f t="shared" si="5"/>
        <v>121.36704130007335</v>
      </c>
      <c r="N23">
        <f t="shared" si="3"/>
        <v>116.75637744297859</v>
      </c>
      <c r="O23">
        <f t="shared" si="2"/>
        <v>112.32087004496368</v>
      </c>
      <c r="P23">
        <f t="shared" si="1"/>
        <v>108.0538650132324</v>
      </c>
      <c r="Q23">
        <f t="shared" si="0"/>
        <v>103.9489610401337</v>
      </c>
    </row>
    <row r="24" spans="1:27" x14ac:dyDescent="0.25">
      <c r="A24" s="49">
        <v>7</v>
      </c>
      <c r="B24" s="54"/>
      <c r="C24" s="55" t="str">
        <f t="shared" ca="1" si="4"/>
        <v/>
      </c>
      <c r="D24" s="55" t="str">
        <f t="shared" ca="1" si="4"/>
        <v/>
      </c>
      <c r="E24" s="55" t="str">
        <f t="shared" ca="1" si="4"/>
        <v/>
      </c>
      <c r="F24" s="55" t="str">
        <f t="shared" ca="1" si="4"/>
        <v/>
      </c>
      <c r="G24" s="55" t="str">
        <f t="shared" ca="1" si="4"/>
        <v/>
      </c>
      <c r="H24" s="55" t="str">
        <f t="shared" ca="1" si="4"/>
        <v/>
      </c>
      <c r="I24" s="55">
        <f>$B$8*H25</f>
        <v>131.14177897693537</v>
      </c>
      <c r="J24" s="55">
        <f t="shared" ref="J24:J30" si="8">$B$8*I25</f>
        <v>126.15977847657631</v>
      </c>
      <c r="K24" s="55">
        <f t="shared" si="7"/>
        <v>121.36704130007337</v>
      </c>
      <c r="L24" s="55">
        <f t="shared" si="6"/>
        <v>116.7563774429786</v>
      </c>
      <c r="M24">
        <f t="shared" si="5"/>
        <v>112.3208700449637</v>
      </c>
      <c r="N24">
        <f t="shared" si="3"/>
        <v>108.05386501323241</v>
      </c>
      <c r="O24">
        <f t="shared" si="2"/>
        <v>103.9489610401337</v>
      </c>
      <c r="P24">
        <f t="shared" si="1"/>
        <v>99.999999999999943</v>
      </c>
      <c r="Q24">
        <f t="shared" si="0"/>
        <v>96.20105771080371</v>
      </c>
    </row>
    <row r="25" spans="1:27" x14ac:dyDescent="0.25">
      <c r="A25" s="49">
        <v>6</v>
      </c>
      <c r="B25" s="54"/>
      <c r="C25" s="55" t="str">
        <f t="shared" ca="1" si="4"/>
        <v/>
      </c>
      <c r="D25" s="55" t="str">
        <f t="shared" ca="1" si="4"/>
        <v/>
      </c>
      <c r="E25" s="55" t="str">
        <f t="shared" ca="1" si="4"/>
        <v/>
      </c>
      <c r="F25" s="55" t="str">
        <f t="shared" ca="1" si="4"/>
        <v/>
      </c>
      <c r="G25" s="55" t="str">
        <f t="shared" ca="1" si="4"/>
        <v/>
      </c>
      <c r="H25" s="55">
        <f>G26*$B$8</f>
        <v>126.15977847657631</v>
      </c>
      <c r="I25" s="55">
        <f t="shared" ref="I25:I30" si="9">$B$8*H26</f>
        <v>121.36704130007337</v>
      </c>
      <c r="J25" s="55">
        <f t="shared" si="8"/>
        <v>116.75637744297862</v>
      </c>
      <c r="K25" s="55">
        <f t="shared" si="7"/>
        <v>112.32087004496371</v>
      </c>
      <c r="L25" s="55">
        <f t="shared" si="6"/>
        <v>108.05386501323242</v>
      </c>
      <c r="M25">
        <f t="shared" si="5"/>
        <v>103.94896104013371</v>
      </c>
      <c r="N25">
        <f t="shared" si="3"/>
        <v>99.999999999999943</v>
      </c>
      <c r="O25">
        <f t="shared" si="2"/>
        <v>96.20105771080371</v>
      </c>
      <c r="P25">
        <f t="shared" si="1"/>
        <v>92.546435046773908</v>
      </c>
      <c r="Q25">
        <f t="shared" si="0"/>
        <v>89.03064938863848</v>
      </c>
    </row>
    <row r="26" spans="1:27" x14ac:dyDescent="0.25">
      <c r="A26" s="49">
        <v>5</v>
      </c>
      <c r="B26" s="49"/>
      <c r="C26" s="55" t="str">
        <f t="shared" ca="1" si="4"/>
        <v/>
      </c>
      <c r="D26" s="55" t="str">
        <f t="shared" ca="1" si="4"/>
        <v/>
      </c>
      <c r="E26" s="55" t="str">
        <f t="shared" ca="1" si="4"/>
        <v/>
      </c>
      <c r="F26" s="55" t="str">
        <f t="shared" ca="1" si="4"/>
        <v/>
      </c>
      <c r="G26" s="55">
        <f>F27*$B$8</f>
        <v>121.36704130007337</v>
      </c>
      <c r="H26" s="55">
        <f t="shared" ref="H26:H30" si="10">G27*$B$8</f>
        <v>116.75637744297862</v>
      </c>
      <c r="I26" s="55">
        <f t="shared" si="9"/>
        <v>112.32087004496373</v>
      </c>
      <c r="J26" s="55">
        <f t="shared" si="8"/>
        <v>108.05386501323244</v>
      </c>
      <c r="K26" s="55">
        <f t="shared" si="7"/>
        <v>103.94896104013372</v>
      </c>
      <c r="L26" s="55">
        <f t="shared" si="6"/>
        <v>99.999999999999957</v>
      </c>
      <c r="M26">
        <f t="shared" si="5"/>
        <v>96.20105771080371</v>
      </c>
      <c r="N26">
        <f t="shared" si="3"/>
        <v>92.546435046773908</v>
      </c>
      <c r="O26">
        <f t="shared" si="2"/>
        <v>89.030649388638494</v>
      </c>
      <c r="P26">
        <f t="shared" si="1"/>
        <v>85.648426398667468</v>
      </c>
      <c r="Q26">
        <f t="shared" si="0"/>
        <v>82.394692108177381</v>
      </c>
    </row>
    <row r="27" spans="1:27" x14ac:dyDescent="0.25">
      <c r="A27" s="49">
        <v>4</v>
      </c>
      <c r="B27" s="49"/>
      <c r="C27" s="55" t="str">
        <f t="shared" ca="1" si="4"/>
        <v/>
      </c>
      <c r="D27" s="55" t="str">
        <f t="shared" ca="1" si="4"/>
        <v/>
      </c>
      <c r="E27" s="55" t="str">
        <f t="shared" ca="1" si="4"/>
        <v/>
      </c>
      <c r="F27" s="55">
        <f>E28*$B$8</f>
        <v>116.75637744297862</v>
      </c>
      <c r="G27" s="55">
        <f t="shared" ref="G27:G30" si="11">F28*$B$8</f>
        <v>112.32087004496373</v>
      </c>
      <c r="H27" s="55">
        <f t="shared" si="10"/>
        <v>108.05386501323245</v>
      </c>
      <c r="I27" s="55">
        <f t="shared" si="9"/>
        <v>103.94896104013374</v>
      </c>
      <c r="J27" s="55">
        <f t="shared" si="8"/>
        <v>99.999999999999972</v>
      </c>
      <c r="K27" s="55">
        <f t="shared" si="7"/>
        <v>96.201057710803724</v>
      </c>
      <c r="L27" s="55">
        <f t="shared" si="6"/>
        <v>92.546435046773908</v>
      </c>
      <c r="M27">
        <f t="shared" si="5"/>
        <v>89.030649388638494</v>
      </c>
      <c r="N27">
        <f t="shared" si="3"/>
        <v>85.648426398667482</v>
      </c>
      <c r="O27">
        <f t="shared" si="2"/>
        <v>82.394692108177381</v>
      </c>
      <c r="P27">
        <f t="shared" si="1"/>
        <v>79.264565305626803</v>
      </c>
      <c r="Q27">
        <f t="shared" si="0"/>
        <v>76.253350213883763</v>
      </c>
    </row>
    <row r="28" spans="1:27" x14ac:dyDescent="0.25">
      <c r="A28" s="49">
        <v>3</v>
      </c>
      <c r="B28" s="49"/>
      <c r="C28" s="55" t="str">
        <f t="shared" ca="1" si="4"/>
        <v/>
      </c>
      <c r="D28" s="55" t="str">
        <f t="shared" ca="1" si="4"/>
        <v/>
      </c>
      <c r="E28" s="55">
        <f>D29*$B$8</f>
        <v>112.32087004496373</v>
      </c>
      <c r="F28" s="55">
        <f t="shared" ref="F28:F30" si="12">E29*$B$8</f>
        <v>108.05386501323245</v>
      </c>
      <c r="G28" s="55">
        <f t="shared" si="11"/>
        <v>103.94896104013375</v>
      </c>
      <c r="H28" s="55">
        <f t="shared" si="10"/>
        <v>99.999999999999986</v>
      </c>
      <c r="I28" s="55">
        <f t="shared" si="9"/>
        <v>96.201057710803738</v>
      </c>
      <c r="J28" s="55">
        <f t="shared" si="8"/>
        <v>92.546435046773922</v>
      </c>
      <c r="K28" s="55">
        <f t="shared" si="7"/>
        <v>89.030649388638494</v>
      </c>
      <c r="L28" s="55">
        <f t="shared" si="6"/>
        <v>85.648426398667482</v>
      </c>
      <c r="M28">
        <f t="shared" si="5"/>
        <v>82.394692108177395</v>
      </c>
      <c r="N28">
        <f t="shared" si="3"/>
        <v>79.264565305626803</v>
      </c>
      <c r="O28">
        <f t="shared" si="2"/>
        <v>76.253350213883778</v>
      </c>
      <c r="P28">
        <f t="shared" si="1"/>
        <v>73.356529445679627</v>
      </c>
      <c r="Q28">
        <f t="shared" si="0"/>
        <v>70.56975722668102</v>
      </c>
    </row>
    <row r="29" spans="1:27" x14ac:dyDescent="0.25">
      <c r="A29" s="49">
        <v>2</v>
      </c>
      <c r="B29" s="49"/>
      <c r="C29" s="55" t="str">
        <f t="shared" ca="1" si="4"/>
        <v/>
      </c>
      <c r="D29" s="55">
        <f>C30*$B$8</f>
        <v>108.05386501323245</v>
      </c>
      <c r="E29" s="55">
        <f t="shared" ref="E29:E30" si="13">D30*$B$8</f>
        <v>103.94896104013375</v>
      </c>
      <c r="F29" s="55">
        <f t="shared" si="12"/>
        <v>100</v>
      </c>
      <c r="G29" s="55">
        <f t="shared" si="11"/>
        <v>96.201057710803752</v>
      </c>
      <c r="H29" s="55">
        <f t="shared" si="10"/>
        <v>92.546435046773937</v>
      </c>
      <c r="I29" s="55">
        <f t="shared" si="9"/>
        <v>89.030649388638508</v>
      </c>
      <c r="J29" s="55">
        <f t="shared" si="8"/>
        <v>85.648426398667482</v>
      </c>
      <c r="K29" s="55">
        <f t="shared" si="7"/>
        <v>82.394692108177395</v>
      </c>
      <c r="L29" s="55">
        <f t="shared" si="6"/>
        <v>79.264565305626817</v>
      </c>
      <c r="M29">
        <f t="shared" si="5"/>
        <v>76.253350213883778</v>
      </c>
      <c r="N29">
        <f t="shared" si="3"/>
        <v>73.356529445679641</v>
      </c>
      <c r="O29">
        <f t="shared" si="2"/>
        <v>70.56975722668102</v>
      </c>
      <c r="P29">
        <f t="shared" si="1"/>
        <v>67.888852876013516</v>
      </c>
      <c r="Q29">
        <f t="shared" si="0"/>
        <v>65.309794534456429</v>
      </c>
    </row>
    <row r="30" spans="1:27" x14ac:dyDescent="0.25">
      <c r="A30" s="49">
        <v>1</v>
      </c>
      <c r="B30" s="49"/>
      <c r="C30" s="55">
        <f>B31*$B$8</f>
        <v>103.94896104013375</v>
      </c>
      <c r="D30" s="55">
        <f>C31*$B$8</f>
        <v>100</v>
      </c>
      <c r="E30" s="55">
        <f t="shared" si="13"/>
        <v>96.201057710803767</v>
      </c>
      <c r="F30" s="55">
        <f t="shared" si="12"/>
        <v>92.546435046773951</v>
      </c>
      <c r="G30" s="55">
        <f t="shared" si="11"/>
        <v>89.030649388638523</v>
      </c>
      <c r="H30" s="55">
        <f t="shared" si="10"/>
        <v>85.648426398667496</v>
      </c>
      <c r="I30" s="55">
        <f t="shared" si="9"/>
        <v>82.394692108177395</v>
      </c>
      <c r="J30" s="55">
        <f t="shared" si="8"/>
        <v>79.264565305626817</v>
      </c>
      <c r="K30" s="55">
        <f t="shared" si="7"/>
        <v>76.253350213883792</v>
      </c>
      <c r="L30" s="55">
        <f t="shared" si="6"/>
        <v>73.356529445679641</v>
      </c>
      <c r="M30">
        <f t="shared" si="5"/>
        <v>70.569757226681034</v>
      </c>
      <c r="N30">
        <f t="shared" si="3"/>
        <v>67.888852876013516</v>
      </c>
      <c r="O30">
        <f t="shared" si="2"/>
        <v>65.309794534456429</v>
      </c>
      <c r="P30">
        <f t="shared" si="1"/>
        <v>62.828713130899793</v>
      </c>
      <c r="Q30">
        <f t="shared" si="0"/>
        <v>60.441886578012252</v>
      </c>
    </row>
    <row r="31" spans="1:27" x14ac:dyDescent="0.25">
      <c r="A31" s="49">
        <v>0</v>
      </c>
      <c r="B31" s="55">
        <f>$B$2</f>
        <v>100</v>
      </c>
      <c r="C31" s="55">
        <f>B31*$B$9</f>
        <v>96.201057710803767</v>
      </c>
      <c r="D31" s="55">
        <f t="shared" ref="D31:P31" si="14">C31*$B$9</f>
        <v>92.546435046773965</v>
      </c>
      <c r="E31" s="55">
        <f>D31*$B$9</f>
        <v>89.030649388638537</v>
      </c>
      <c r="F31" s="55">
        <f t="shared" si="14"/>
        <v>85.64842639866751</v>
      </c>
      <c r="G31" s="55">
        <f t="shared" si="14"/>
        <v>82.394692108177409</v>
      </c>
      <c r="H31" s="55">
        <f t="shared" si="14"/>
        <v>79.264565305626817</v>
      </c>
      <c r="I31" s="55">
        <f t="shared" si="14"/>
        <v>76.253350213883792</v>
      </c>
      <c r="J31" s="55">
        <f t="shared" si="14"/>
        <v>73.356529445679655</v>
      </c>
      <c r="K31" s="55">
        <f>J31*$B$9</f>
        <v>70.569757226681034</v>
      </c>
      <c r="L31" s="55">
        <f t="shared" si="14"/>
        <v>67.88885287601353</v>
      </c>
      <c r="M31" s="55">
        <f t="shared" si="14"/>
        <v>65.309794534456429</v>
      </c>
      <c r="N31" s="55">
        <f>M31*$B$9</f>
        <v>62.828713130899793</v>
      </c>
      <c r="O31" s="55">
        <f t="shared" si="14"/>
        <v>60.441886578012252</v>
      </c>
      <c r="P31" s="55">
        <f t="shared" si="14"/>
        <v>58.145734188412121</v>
      </c>
      <c r="Q31" s="55">
        <f>P31*$B$9</f>
        <v>55.936811302964898</v>
      </c>
    </row>
    <row r="34" spans="1:17" x14ac:dyDescent="0.25">
      <c r="A34" s="60" t="s">
        <v>42</v>
      </c>
    </row>
    <row r="35" spans="1:17" x14ac:dyDescent="0.25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61">
        <v>11</v>
      </c>
      <c r="N35" s="61">
        <v>12</v>
      </c>
      <c r="O35" s="61">
        <v>13</v>
      </c>
      <c r="P35" s="61">
        <v>14</v>
      </c>
      <c r="Q35" s="61">
        <v>15</v>
      </c>
    </row>
    <row r="36" spans="1:17" x14ac:dyDescent="0.25">
      <c r="A36">
        <v>15</v>
      </c>
      <c r="Q36">
        <f>MAX($G$2*(Q16-$G$3),0)</f>
        <v>68.773150758236852</v>
      </c>
    </row>
    <row r="37" spans="1:17" x14ac:dyDescent="0.25">
      <c r="A37">
        <v>14</v>
      </c>
      <c r="P37">
        <f>MAX($G$2*(P17-$G$3),0)</f>
        <v>61.98166193235366</v>
      </c>
      <c r="Q37">
        <f t="shared" ref="Q37:Q51" si="15">MAX($G$2*(Q17-$G$3),0)</f>
        <v>55.448177847542979</v>
      </c>
    </row>
    <row r="38" spans="1:17" x14ac:dyDescent="0.25">
      <c r="A38">
        <v>13</v>
      </c>
      <c r="O38">
        <f>MAX($G$2*(O18-$G$3),0)</f>
        <v>55.448177847542979</v>
      </c>
      <c r="P38">
        <f t="shared" ref="P38:P51" si="16">MAX($G$2*(P18-$G$3),0)</f>
        <v>49.162897052588079</v>
      </c>
      <c r="Q38">
        <f t="shared" si="15"/>
        <v>43.116390447747449</v>
      </c>
    </row>
    <row r="39" spans="1:17" x14ac:dyDescent="0.25">
      <c r="A39">
        <v>12</v>
      </c>
      <c r="N39">
        <f>MAX($G$2*(N19-$G$3),0)</f>
        <v>49.162897052588079</v>
      </c>
      <c r="O39">
        <f t="shared" ref="O39:O51" si="17">MAX($G$2*(O19-$G$3),0)</f>
        <v>43.116390447747449</v>
      </c>
      <c r="P39">
        <f>MAX($G$2*(P19-$G$3),0)</f>
        <v>37.299587139337149</v>
      </c>
      <c r="Q39">
        <f t="shared" si="15"/>
        <v>31.70376083168938</v>
      </c>
    </row>
    <row r="40" spans="1:17" x14ac:dyDescent="0.25">
      <c r="A40">
        <v>11</v>
      </c>
      <c r="M40">
        <f>MAX($G$2*(M20-$G$3),0)</f>
        <v>43.116390447747449</v>
      </c>
      <c r="N40">
        <f t="shared" ref="N40:N51" si="18">MAX($G$2*(N20-$G$3),0)</f>
        <v>37.299587139337149</v>
      </c>
      <c r="O40">
        <f t="shared" si="17"/>
        <v>31.703760831689408</v>
      </c>
      <c r="P40">
        <f t="shared" si="16"/>
        <v>26.320516736072847</v>
      </c>
      <c r="Q40">
        <f t="shared" si="15"/>
        <v>21.141778976935342</v>
      </c>
    </row>
    <row r="41" spans="1:17" x14ac:dyDescent="0.25">
      <c r="A41" s="49">
        <v>10</v>
      </c>
      <c r="L41">
        <f>MAX($G$2*(L21-$G$3),0)</f>
        <v>37.299587139337149</v>
      </c>
      <c r="M41">
        <f t="shared" ref="M41:M51" si="19">MAX($G$2*(M21-$G$3),0)</f>
        <v>31.703760831689408</v>
      </c>
      <c r="N41">
        <f t="shared" si="18"/>
        <v>26.320516736072875</v>
      </c>
      <c r="O41">
        <f t="shared" si="17"/>
        <v>21.141778976935342</v>
      </c>
      <c r="P41">
        <f t="shared" si="16"/>
        <v>16.159778476576278</v>
      </c>
      <c r="Q41">
        <f t="shared" si="15"/>
        <v>11.367041300073325</v>
      </c>
    </row>
    <row r="42" spans="1:17" x14ac:dyDescent="0.25">
      <c r="A42" s="49">
        <v>9</v>
      </c>
      <c r="K42">
        <f>MAX($G$2*(K22-$G$3),0)</f>
        <v>31.703760831689408</v>
      </c>
      <c r="L42">
        <f t="shared" ref="L42:L51" si="20">MAX($G$2*(L22-$G$3),0)</f>
        <v>26.320516736072875</v>
      </c>
      <c r="M42">
        <f t="shared" si="19"/>
        <v>21.14177897693537</v>
      </c>
      <c r="N42">
        <f t="shared" si="18"/>
        <v>16.159778476576292</v>
      </c>
      <c r="O42">
        <f t="shared" si="17"/>
        <v>11.367041300073339</v>
      </c>
      <c r="P42">
        <f t="shared" si="16"/>
        <v>6.7563774429785752</v>
      </c>
      <c r="Q42">
        <f t="shared" si="15"/>
        <v>2.3208700449636694</v>
      </c>
    </row>
    <row r="43" spans="1:17" x14ac:dyDescent="0.25">
      <c r="A43" s="49">
        <v>8</v>
      </c>
      <c r="J43">
        <f>MAX($G$2*(J23-$G$3),0)</f>
        <v>26.320516736072875</v>
      </c>
      <c r="K43">
        <f t="shared" ref="K43:K51" si="21">MAX($G$2*(K23-$G$3),0)</f>
        <v>21.14177897693537</v>
      </c>
      <c r="L43">
        <f t="shared" si="20"/>
        <v>16.159778476576307</v>
      </c>
      <c r="M43">
        <f t="shared" si="19"/>
        <v>11.367041300073353</v>
      </c>
      <c r="N43">
        <f t="shared" si="18"/>
        <v>6.7563774429785894</v>
      </c>
      <c r="O43">
        <f t="shared" si="17"/>
        <v>2.3208700449636837</v>
      </c>
      <c r="P43">
        <f t="shared" si="16"/>
        <v>0</v>
      </c>
      <c r="Q43">
        <f t="shared" si="15"/>
        <v>0</v>
      </c>
    </row>
    <row r="44" spans="1:17" x14ac:dyDescent="0.25">
      <c r="A44" s="49">
        <v>7</v>
      </c>
      <c r="I44">
        <f>MAX($G$2*(I24-$G$3),0)</f>
        <v>21.14177897693537</v>
      </c>
      <c r="J44">
        <f t="shared" ref="J44:J51" si="22">MAX($G$2*(J24-$G$3),0)</f>
        <v>16.159778476576307</v>
      </c>
      <c r="K44">
        <f t="shared" si="21"/>
        <v>11.367041300073367</v>
      </c>
      <c r="L44">
        <f t="shared" si="20"/>
        <v>6.7563774429786037</v>
      </c>
      <c r="M44">
        <f>MAX($G$2*(M24-$G$3),0)</f>
        <v>2.3208700449636979</v>
      </c>
      <c r="N44">
        <f t="shared" si="18"/>
        <v>0</v>
      </c>
      <c r="O44">
        <f t="shared" si="17"/>
        <v>0</v>
      </c>
      <c r="P44">
        <f t="shared" si="16"/>
        <v>0</v>
      </c>
      <c r="Q44">
        <f t="shared" si="15"/>
        <v>0</v>
      </c>
    </row>
    <row r="45" spans="1:17" x14ac:dyDescent="0.25">
      <c r="A45" s="49">
        <v>6</v>
      </c>
      <c r="H45">
        <f>MAX($G$2*(H25-$G$3),0)</f>
        <v>16.159778476576307</v>
      </c>
      <c r="I45">
        <f t="shared" ref="I45:I51" si="23">MAX($G$2*(I25-$G$3),0)</f>
        <v>11.367041300073367</v>
      </c>
      <c r="J45">
        <f t="shared" si="22"/>
        <v>6.7563774429786179</v>
      </c>
      <c r="K45">
        <f t="shared" si="21"/>
        <v>2.3208700449637121</v>
      </c>
      <c r="L45">
        <f t="shared" si="20"/>
        <v>0</v>
      </c>
      <c r="M45">
        <f t="shared" si="19"/>
        <v>0</v>
      </c>
      <c r="N45">
        <f t="shared" si="18"/>
        <v>0</v>
      </c>
      <c r="O45">
        <f t="shared" si="17"/>
        <v>0</v>
      </c>
      <c r="P45">
        <f t="shared" si="16"/>
        <v>0</v>
      </c>
      <c r="Q45">
        <f t="shared" si="15"/>
        <v>0</v>
      </c>
    </row>
    <row r="46" spans="1:17" x14ac:dyDescent="0.25">
      <c r="A46" s="49">
        <v>5</v>
      </c>
      <c r="G46">
        <f>MAX($G$2*(G26-$G$3),0)</f>
        <v>11.367041300073367</v>
      </c>
      <c r="H46">
        <f t="shared" ref="H46:H51" si="24">MAX($G$2*(H26-$G$3),0)</f>
        <v>6.7563774429786179</v>
      </c>
      <c r="I46">
        <f t="shared" si="23"/>
        <v>2.3208700449637263</v>
      </c>
      <c r="J46">
        <f t="shared" si="22"/>
        <v>0</v>
      </c>
      <c r="K46">
        <f t="shared" si="21"/>
        <v>0</v>
      </c>
      <c r="L46">
        <f t="shared" si="20"/>
        <v>0</v>
      </c>
      <c r="M46">
        <f t="shared" si="19"/>
        <v>0</v>
      </c>
      <c r="N46">
        <f t="shared" si="18"/>
        <v>0</v>
      </c>
      <c r="O46">
        <f t="shared" si="17"/>
        <v>0</v>
      </c>
      <c r="P46">
        <f t="shared" si="16"/>
        <v>0</v>
      </c>
      <c r="Q46">
        <f t="shared" si="15"/>
        <v>0</v>
      </c>
    </row>
    <row r="47" spans="1:17" x14ac:dyDescent="0.25">
      <c r="A47" s="49">
        <v>4</v>
      </c>
      <c r="F47">
        <f>MAX($G$2*(F27-$G$3),0)</f>
        <v>6.7563774429786179</v>
      </c>
      <c r="G47">
        <f t="shared" ref="G47:G51" si="25">MAX($G$2*(G27-$G$3),0)</f>
        <v>2.3208700449637263</v>
      </c>
      <c r="H47">
        <f t="shared" si="24"/>
        <v>0</v>
      </c>
      <c r="I47">
        <f t="shared" si="23"/>
        <v>0</v>
      </c>
      <c r="J47">
        <f t="shared" si="22"/>
        <v>0</v>
      </c>
      <c r="K47">
        <f t="shared" si="21"/>
        <v>0</v>
      </c>
      <c r="L47">
        <f t="shared" si="20"/>
        <v>0</v>
      </c>
      <c r="M47">
        <f t="shared" si="19"/>
        <v>0</v>
      </c>
      <c r="N47">
        <f t="shared" si="18"/>
        <v>0</v>
      </c>
      <c r="O47">
        <f t="shared" si="17"/>
        <v>0</v>
      </c>
      <c r="P47">
        <f t="shared" si="16"/>
        <v>0</v>
      </c>
      <c r="Q47">
        <f t="shared" si="15"/>
        <v>0</v>
      </c>
    </row>
    <row r="48" spans="1:17" x14ac:dyDescent="0.25">
      <c r="A48" s="49">
        <v>3</v>
      </c>
      <c r="E48">
        <f>MAX($G$2*(E28-$G$3),0)</f>
        <v>2.3208700449637263</v>
      </c>
      <c r="F48">
        <f t="shared" ref="F48:F51" si="26">MAX($G$2*(F28-$G$3),0)</f>
        <v>0</v>
      </c>
      <c r="G48">
        <f t="shared" si="25"/>
        <v>0</v>
      </c>
      <c r="H48">
        <f t="shared" si="24"/>
        <v>0</v>
      </c>
      <c r="I48">
        <f t="shared" si="23"/>
        <v>0</v>
      </c>
      <c r="J48">
        <f t="shared" si="22"/>
        <v>0</v>
      </c>
      <c r="K48">
        <f t="shared" si="21"/>
        <v>0</v>
      </c>
      <c r="L48">
        <f t="shared" si="20"/>
        <v>0</v>
      </c>
      <c r="M48">
        <f t="shared" si="19"/>
        <v>0</v>
      </c>
      <c r="N48">
        <f t="shared" si="18"/>
        <v>0</v>
      </c>
      <c r="O48">
        <f t="shared" si="17"/>
        <v>0</v>
      </c>
      <c r="P48">
        <f t="shared" si="16"/>
        <v>0</v>
      </c>
      <c r="Q48">
        <f t="shared" si="15"/>
        <v>0</v>
      </c>
    </row>
    <row r="49" spans="1:20" x14ac:dyDescent="0.25">
      <c r="A49" s="49">
        <v>2</v>
      </c>
      <c r="D49">
        <f>MAX($G$2*(D29-$G$3),0)</f>
        <v>0</v>
      </c>
      <c r="E49">
        <f t="shared" ref="E49:E51" si="27">MAX($G$2*(E29-$G$3),0)</f>
        <v>0</v>
      </c>
      <c r="F49">
        <f t="shared" si="26"/>
        <v>0</v>
      </c>
      <c r="G49">
        <f t="shared" si="25"/>
        <v>0</v>
      </c>
      <c r="H49">
        <f t="shared" si="24"/>
        <v>0</v>
      </c>
      <c r="I49">
        <f t="shared" si="23"/>
        <v>0</v>
      </c>
      <c r="J49">
        <f t="shared" si="22"/>
        <v>0</v>
      </c>
      <c r="K49">
        <f t="shared" si="21"/>
        <v>0</v>
      </c>
      <c r="L49">
        <f t="shared" si="20"/>
        <v>0</v>
      </c>
      <c r="M49">
        <f t="shared" si="19"/>
        <v>0</v>
      </c>
      <c r="N49">
        <f t="shared" si="18"/>
        <v>0</v>
      </c>
      <c r="O49">
        <f t="shared" si="17"/>
        <v>0</v>
      </c>
      <c r="P49">
        <f t="shared" si="16"/>
        <v>0</v>
      </c>
      <c r="Q49">
        <f t="shared" si="15"/>
        <v>0</v>
      </c>
    </row>
    <row r="50" spans="1:20" x14ac:dyDescent="0.25">
      <c r="A50" s="49">
        <v>1</v>
      </c>
      <c r="C50">
        <f>MAX($G$2*(C30-$G$3),0)</f>
        <v>0</v>
      </c>
      <c r="D50">
        <f t="shared" ref="D50:D51" si="28">MAX($G$2*(D30-$G$3),0)</f>
        <v>0</v>
      </c>
      <c r="E50">
        <f t="shared" si="27"/>
        <v>0</v>
      </c>
      <c r="F50">
        <f t="shared" si="26"/>
        <v>0</v>
      </c>
      <c r="G50">
        <f t="shared" si="25"/>
        <v>0</v>
      </c>
      <c r="H50">
        <f t="shared" si="24"/>
        <v>0</v>
      </c>
      <c r="I50">
        <f t="shared" si="23"/>
        <v>0</v>
      </c>
      <c r="J50">
        <f t="shared" si="22"/>
        <v>0</v>
      </c>
      <c r="K50">
        <f t="shared" si="21"/>
        <v>0</v>
      </c>
      <c r="L50">
        <f t="shared" si="20"/>
        <v>0</v>
      </c>
      <c r="M50">
        <f t="shared" si="19"/>
        <v>0</v>
      </c>
      <c r="N50">
        <f t="shared" si="18"/>
        <v>0</v>
      </c>
      <c r="O50">
        <f t="shared" si="17"/>
        <v>0</v>
      </c>
      <c r="P50">
        <f t="shared" si="16"/>
        <v>0</v>
      </c>
      <c r="Q50">
        <f t="shared" si="15"/>
        <v>0</v>
      </c>
    </row>
    <row r="51" spans="1:20" x14ac:dyDescent="0.25">
      <c r="A51" s="49">
        <v>0</v>
      </c>
      <c r="B51">
        <f>MAX($G$2*(B31-$G$3),0)</f>
        <v>0</v>
      </c>
      <c r="C51">
        <f>MAX($G$2*(C31-$G$3),0)</f>
        <v>0</v>
      </c>
      <c r="D51">
        <f t="shared" si="28"/>
        <v>0</v>
      </c>
      <c r="E51">
        <f t="shared" si="27"/>
        <v>0</v>
      </c>
      <c r="F51">
        <f t="shared" si="26"/>
        <v>0</v>
      </c>
      <c r="G51">
        <f t="shared" si="25"/>
        <v>0</v>
      </c>
      <c r="H51">
        <f t="shared" si="24"/>
        <v>0</v>
      </c>
      <c r="I51">
        <f t="shared" si="23"/>
        <v>0</v>
      </c>
      <c r="J51">
        <f t="shared" si="22"/>
        <v>0</v>
      </c>
      <c r="K51">
        <f t="shared" si="21"/>
        <v>0</v>
      </c>
      <c r="L51">
        <f t="shared" si="20"/>
        <v>0</v>
      </c>
      <c r="M51">
        <f t="shared" si="19"/>
        <v>0</v>
      </c>
      <c r="N51">
        <f t="shared" si="18"/>
        <v>0</v>
      </c>
      <c r="O51">
        <f t="shared" si="17"/>
        <v>0</v>
      </c>
      <c r="P51">
        <f t="shared" si="16"/>
        <v>0</v>
      </c>
      <c r="Q51">
        <f t="shared" si="15"/>
        <v>0</v>
      </c>
    </row>
    <row r="56" spans="1:20" x14ac:dyDescent="0.25">
      <c r="A56" s="60" t="s">
        <v>38</v>
      </c>
      <c r="R56" s="60" t="s">
        <v>44</v>
      </c>
      <c r="S56" s="60" t="s">
        <v>43</v>
      </c>
      <c r="T56" t="s">
        <v>45</v>
      </c>
    </row>
    <row r="57" spans="1:20" x14ac:dyDescent="0.25">
      <c r="B57" s="54">
        <v>0</v>
      </c>
      <c r="C57" s="54">
        <v>1</v>
      </c>
      <c r="D57" s="54">
        <v>2</v>
      </c>
      <c r="E57" s="54">
        <v>3</v>
      </c>
      <c r="F57" s="54">
        <v>4</v>
      </c>
      <c r="G57" s="54">
        <v>5</v>
      </c>
      <c r="H57" s="54">
        <v>6</v>
      </c>
      <c r="I57" s="54">
        <v>7</v>
      </c>
      <c r="J57" s="54">
        <v>8</v>
      </c>
      <c r="K57" s="54">
        <v>9</v>
      </c>
      <c r="L57" s="49">
        <v>10</v>
      </c>
      <c r="M57" s="61">
        <v>11</v>
      </c>
      <c r="N57" s="61">
        <v>12</v>
      </c>
      <c r="O57" s="61">
        <v>13</v>
      </c>
      <c r="P57" s="61">
        <v>14</v>
      </c>
      <c r="Q57" s="61">
        <v>15</v>
      </c>
    </row>
    <row r="58" spans="1:20" x14ac:dyDescent="0.25">
      <c r="A58">
        <v>15</v>
      </c>
      <c r="Q58">
        <f>MAX($G$2*(Q16-$G$3),0)</f>
        <v>68.773150758236852</v>
      </c>
      <c r="R58">
        <f>(FACT($B$5) / (FACT($B$5 - A58) * FACT(A58))) * ($B$10^A58)*($B$11^($B$5 - A58))</f>
        <v>2.4305097231388897E-5</v>
      </c>
      <c r="S58">
        <f>R58*Q58</f>
        <v>1.6715381160879138E-3</v>
      </c>
      <c r="T58">
        <f>($B$13^$B$5)*SUM(S58:S73)</f>
        <v>2.6040771329665531</v>
      </c>
    </row>
    <row r="59" spans="1:20" x14ac:dyDescent="0.25">
      <c r="A59">
        <v>14</v>
      </c>
      <c r="P59">
        <f>$B$12 *($B$10*Q58 + $B$11*Q59)</f>
        <v>62.031001486154132</v>
      </c>
      <c r="Q59">
        <f t="shared" ref="Q59:Q73" si="29">MAX($G$2*(Q17-$G$3),0)</f>
        <v>55.448177847542979</v>
      </c>
      <c r="R59">
        <f t="shared" ref="R59:R73" si="30">(FACT($B$5) / (FACT($B$5 - A59) * FACT(A59))) * ($B$10^A59)*($B$11^($B$5 - A59))</f>
        <v>3.7572532842667885E-4</v>
      </c>
      <c r="S59">
        <f t="shared" ref="S59:S73" si="31">R59*Q59</f>
        <v>2.0833284832428984E-2</v>
      </c>
    </row>
    <row r="60" spans="1:20" x14ac:dyDescent="0.25">
      <c r="A60">
        <v>13</v>
      </c>
      <c r="O60">
        <f>$B$12 *($B$10*P59 + $B$11*P60)</f>
        <v>55.540350993850261</v>
      </c>
      <c r="P60">
        <f t="shared" ref="P60:P73" si="32">$B$12 *($B$10*Q59 + $B$11*Q60)</f>
        <v>49.205825621335968</v>
      </c>
      <c r="Q60">
        <f t="shared" si="29"/>
        <v>43.116390447747449</v>
      </c>
      <c r="R60">
        <f t="shared" si="30"/>
        <v>2.7105059418651564E-3</v>
      </c>
      <c r="S60">
        <f t="shared" si="31"/>
        <v>0.11686723250039753</v>
      </c>
    </row>
    <row r="61" spans="1:20" x14ac:dyDescent="0.25">
      <c r="A61">
        <v>12</v>
      </c>
      <c r="N61">
        <f>$B$12 *($B$10*O60 + $B$11*O61)</f>
        <v>49.291765527650938</v>
      </c>
      <c r="O61">
        <f t="shared" ref="O61:O73" si="33">$B$12 *($B$10*P60 + $B$11*P61)</f>
        <v>43.196225638705414</v>
      </c>
      <c r="P61">
        <f t="shared" si="32"/>
        <v>37.336582569967469</v>
      </c>
      <c r="Q61">
        <f t="shared" si="29"/>
        <v>31.70376083168938</v>
      </c>
      <c r="R61">
        <f t="shared" si="30"/>
        <v>1.2104707851275877E-2</v>
      </c>
      <c r="S61">
        <f t="shared" si="31"/>
        <v>0.38376476265432308</v>
      </c>
    </row>
    <row r="62" spans="1:20" x14ac:dyDescent="0.25">
      <c r="A62">
        <v>11</v>
      </c>
      <c r="M62">
        <f>$B$12 *($B$10*N61 + $B$11*N62)</f>
        <v>43.276165177765407</v>
      </c>
      <c r="N62">
        <f t="shared" ref="N62:N73" si="34">$B$12 *($B$10*O61 + $B$11*O62)</f>
        <v>37.410647296630849</v>
      </c>
      <c r="O62">
        <f t="shared" si="33"/>
        <v>31.772177684813915</v>
      </c>
      <c r="P62">
        <f t="shared" si="32"/>
        <v>26.352021258888993</v>
      </c>
      <c r="Q62">
        <f t="shared" si="29"/>
        <v>21.141778976935342</v>
      </c>
      <c r="R62">
        <f t="shared" si="30"/>
        <v>3.7424621589713609E-2</v>
      </c>
      <c r="S62">
        <f t="shared" si="31"/>
        <v>0.79122307794516766</v>
      </c>
    </row>
    <row r="63" spans="1:20" x14ac:dyDescent="0.25">
      <c r="A63" s="49">
        <v>10</v>
      </c>
      <c r="L63">
        <f>$B$12 *($B$10*M62 + $B$11*M63)</f>
        <v>37.484810606204796</v>
      </c>
      <c r="M63">
        <f t="shared" ref="M63:M73" si="35">$B$12 *($B$10*N62 + $B$11*N63)</f>
        <v>31.840687461991564</v>
      </c>
      <c r="N63">
        <f t="shared" si="34"/>
        <v>26.415095930129429</v>
      </c>
      <c r="O63">
        <f t="shared" si="33"/>
        <v>21.199628565453416</v>
      </c>
      <c r="P63">
        <f t="shared" si="32"/>
        <v>16.186201359958691</v>
      </c>
      <c r="Q63">
        <f t="shared" si="29"/>
        <v>11.367041300073325</v>
      </c>
      <c r="R63">
        <f t="shared" si="30"/>
        <v>8.485197385876013E-2</v>
      </c>
      <c r="S63">
        <f t="shared" si="31"/>
        <v>0.96451589124526849</v>
      </c>
    </row>
    <row r="64" spans="1:20" x14ac:dyDescent="0.25">
      <c r="A64" s="49">
        <v>9</v>
      </c>
      <c r="K64">
        <f>$B$12 *($B$10*L63+ $B$11*L64)</f>
        <v>31.909290272513644</v>
      </c>
      <c r="L64">
        <f t="shared" ref="L64:L73" si="36">$B$12 *($B$10*M63 + $B$11*M64)</f>
        <v>26.478258188728141</v>
      </c>
      <c r="M64">
        <f t="shared" si="35"/>
        <v>21.257560505474618</v>
      </c>
      <c r="N64">
        <f t="shared" si="34"/>
        <v>16.239105126695513</v>
      </c>
      <c r="O64">
        <f t="shared" si="33"/>
        <v>11.415111261916167</v>
      </c>
      <c r="P64">
        <f t="shared" si="32"/>
        <v>6.7780974502231208</v>
      </c>
      <c r="Q64">
        <f t="shared" si="29"/>
        <v>2.3208700449636694</v>
      </c>
      <c r="R64">
        <f t="shared" si="30"/>
        <v>0.14574462596705273</v>
      </c>
      <c r="S64">
        <f t="shared" si="31"/>
        <v>0.33825433662136684</v>
      </c>
    </row>
    <row r="65" spans="1:19" x14ac:dyDescent="0.25">
      <c r="A65" s="49">
        <v>8</v>
      </c>
      <c r="J65">
        <f>$B$12 *($B$10*K64 + $B$11*K65)</f>
        <v>26.594118953522873</v>
      </c>
      <c r="K65">
        <f t="shared" ref="K65:K73" si="37">$B$12 *($B$10*L64+ $B$11*L65)</f>
        <v>21.419200860897888</v>
      </c>
      <c r="L65">
        <f t="shared" si="36"/>
        <v>16.496195301875737</v>
      </c>
      <c r="M65">
        <f t="shared" si="35"/>
        <v>11.865281242195129</v>
      </c>
      <c r="N65">
        <f t="shared" si="34"/>
        <v>7.6134499815645906</v>
      </c>
      <c r="O65">
        <f t="shared" si="33"/>
        <v>3.9195956203847166</v>
      </c>
      <c r="P65">
        <f t="shared" si="32"/>
        <v>1.1433400383704577</v>
      </c>
      <c r="Q65">
        <f t="shared" si="29"/>
        <v>0</v>
      </c>
      <c r="R65">
        <f t="shared" si="30"/>
        <v>0.19311627258349423</v>
      </c>
      <c r="S65">
        <f t="shared" si="31"/>
        <v>0</v>
      </c>
    </row>
    <row r="66" spans="1:19" x14ac:dyDescent="0.25">
      <c r="A66" s="49">
        <v>7</v>
      </c>
      <c r="I66">
        <f>$B$12 *($B$10*J65 + $B$11*J66)</f>
        <v>21.641926165915883</v>
      </c>
      <c r="J66">
        <f t="shared" ref="J66:J73" si="38">$B$12 *($B$10*K65 + $B$11*K66)</f>
        <v>16.822467907308798</v>
      </c>
      <c r="K66">
        <f t="shared" si="37"/>
        <v>12.351086724821897</v>
      </c>
      <c r="L66">
        <f t="shared" si="36"/>
        <v>8.3208651071306914</v>
      </c>
      <c r="M66">
        <f t="shared" si="35"/>
        <v>4.8761581393857831</v>
      </c>
      <c r="N66">
        <f t="shared" si="34"/>
        <v>2.2168877476946443</v>
      </c>
      <c r="O66">
        <f t="shared" si="33"/>
        <v>0.5632484447708157</v>
      </c>
      <c r="P66">
        <f t="shared" si="32"/>
        <v>0</v>
      </c>
      <c r="Q66">
        <f t="shared" si="29"/>
        <v>0</v>
      </c>
      <c r="R66">
        <f t="shared" si="30"/>
        <v>0.19902183274615956</v>
      </c>
      <c r="S66">
        <f t="shared" si="31"/>
        <v>0</v>
      </c>
    </row>
    <row r="67" spans="1:19" x14ac:dyDescent="0.25">
      <c r="A67" s="49">
        <v>6</v>
      </c>
      <c r="H67">
        <f>$B$12 *($B$10*I66 + $B$11*I67)</f>
        <v>17.174987320173621</v>
      </c>
      <c r="I67">
        <f t="shared" ref="I67:I73" si="39">$B$12 *($B$10*J66 + $B$11*J67)</f>
        <v>12.829317386947734</v>
      </c>
      <c r="J67">
        <f t="shared" si="38"/>
        <v>8.9462307478107803</v>
      </c>
      <c r="K67">
        <f t="shared" si="37"/>
        <v>5.6365321233392365</v>
      </c>
      <c r="L67">
        <f t="shared" si="36"/>
        <v>3.0281498338112716</v>
      </c>
      <c r="M67">
        <f t="shared" si="35"/>
        <v>1.2329888586058197</v>
      </c>
      <c r="N67">
        <f t="shared" si="34"/>
        <v>0.27747546651904242</v>
      </c>
      <c r="O67">
        <f t="shared" si="33"/>
        <v>0</v>
      </c>
      <c r="P67">
        <f>$B$12 *($B$10*Q66 + $B$11*Q67)</f>
        <v>0</v>
      </c>
      <c r="Q67">
        <f t="shared" si="29"/>
        <v>0</v>
      </c>
      <c r="R67">
        <f t="shared" si="30"/>
        <v>0.1595284342652544</v>
      </c>
      <c r="S67">
        <f t="shared" si="31"/>
        <v>0</v>
      </c>
    </row>
    <row r="68" spans="1:19" x14ac:dyDescent="0.25">
      <c r="A68" s="49">
        <v>5</v>
      </c>
      <c r="G68">
        <f>$B$12 *($B$10*H67 + $B$11*H68)</f>
        <v>13.291042844030345</v>
      </c>
      <c r="H68">
        <f t="shared" ref="H68:H73" si="40">$B$12 *($B$10*I67 + $B$11*I68)</f>
        <v>9.5136185866962659</v>
      </c>
      <c r="I68">
        <f t="shared" si="39"/>
        <v>6.2900590002156305</v>
      </c>
      <c r="J68">
        <f t="shared" si="38"/>
        <v>3.7085731715620707</v>
      </c>
      <c r="K68">
        <f t="shared" si="37"/>
        <v>1.8353871087459979</v>
      </c>
      <c r="L68">
        <f t="shared" si="36"/>
        <v>0.67681190728693041</v>
      </c>
      <c r="M68">
        <f t="shared" si="35"/>
        <v>0.13669391408845938</v>
      </c>
      <c r="N68">
        <f t="shared" si="34"/>
        <v>0</v>
      </c>
      <c r="O68">
        <f t="shared" si="33"/>
        <v>0</v>
      </c>
      <c r="P68">
        <f t="shared" si="32"/>
        <v>0</v>
      </c>
      <c r="Q68">
        <f t="shared" si="29"/>
        <v>0</v>
      </c>
      <c r="R68">
        <f t="shared" si="30"/>
        <v>9.8644120263461949E-2</v>
      </c>
      <c r="S68">
        <f t="shared" si="31"/>
        <v>0</v>
      </c>
    </row>
    <row r="69" spans="1:19" x14ac:dyDescent="0.25">
      <c r="A69" s="49">
        <v>4</v>
      </c>
      <c r="F69">
        <f>$B$12 *($B$10*G68 + $B$11*G69)</f>
        <v>10.037346222731641</v>
      </c>
      <c r="G69">
        <f t="shared" ref="G69:G73" si="41">$B$12 *($B$10*H68 + $B$11*H69)</f>
        <v>6.873605114863202</v>
      </c>
      <c r="H69">
        <f t="shared" si="40"/>
        <v>4.3074149036134806</v>
      </c>
      <c r="I69">
        <f t="shared" si="39"/>
        <v>2.3807731250920638</v>
      </c>
      <c r="J69">
        <f t="shared" si="38"/>
        <v>1.0908094181204342</v>
      </c>
      <c r="K69">
        <f t="shared" si="37"/>
        <v>0.3676092286666261</v>
      </c>
      <c r="L69">
        <f t="shared" si="36"/>
        <v>6.7340101751088649E-2</v>
      </c>
      <c r="M69">
        <f t="shared" si="35"/>
        <v>0</v>
      </c>
      <c r="N69">
        <f t="shared" si="34"/>
        <v>0</v>
      </c>
      <c r="O69">
        <f t="shared" si="33"/>
        <v>0</v>
      </c>
      <c r="P69">
        <f t="shared" si="32"/>
        <v>0</v>
      </c>
      <c r="Q69">
        <f t="shared" si="29"/>
        <v>0</v>
      </c>
      <c r="R69">
        <f t="shared" si="30"/>
        <v>4.6209404741758005E-2</v>
      </c>
      <c r="S69">
        <f t="shared" si="31"/>
        <v>0</v>
      </c>
    </row>
    <row r="70" spans="1:19" x14ac:dyDescent="0.25">
      <c r="A70" s="49">
        <v>3</v>
      </c>
      <c r="E70">
        <f>$B$12 *($B$10*F69 + $B$11*F70)</f>
        <v>7.4067187554550458</v>
      </c>
      <c r="F70">
        <f t="shared" ref="F70:F73" si="42">$B$12 *($B$10*G69 + $B$11*G70)</f>
        <v>4.84928596081064</v>
      </c>
      <c r="G70">
        <f t="shared" si="41"/>
        <v>2.8818499173143395</v>
      </c>
      <c r="H70">
        <f t="shared" si="40"/>
        <v>1.4966932021482062</v>
      </c>
      <c r="I70">
        <f t="shared" si="39"/>
        <v>0.63786368964694762</v>
      </c>
      <c r="J70">
        <f t="shared" si="38"/>
        <v>0.19793932281267718</v>
      </c>
      <c r="K70">
        <f t="shared" si="37"/>
        <v>3.3174039488783807E-2</v>
      </c>
      <c r="L70">
        <f t="shared" si="36"/>
        <v>0</v>
      </c>
      <c r="M70">
        <f t="shared" si="35"/>
        <v>0</v>
      </c>
      <c r="N70">
        <f t="shared" si="34"/>
        <v>0</v>
      </c>
      <c r="O70">
        <f t="shared" si="33"/>
        <v>0</v>
      </c>
      <c r="P70">
        <f t="shared" si="32"/>
        <v>0</v>
      </c>
      <c r="Q70">
        <f t="shared" si="29"/>
        <v>0</v>
      </c>
      <c r="R70">
        <f t="shared" si="30"/>
        <v>1.5874167927921162E-2</v>
      </c>
      <c r="S70">
        <f t="shared" si="31"/>
        <v>0</v>
      </c>
    </row>
    <row r="71" spans="1:19" x14ac:dyDescent="0.25">
      <c r="A71" s="49">
        <v>2</v>
      </c>
      <c r="D71">
        <f>$B$12 *($B$10*E70 + $B$11*E71)</f>
        <v>5.3485324750714787</v>
      </c>
      <c r="E71">
        <f t="shared" ref="E71:E73" si="43">$B$12 *($B$10*F70 + $B$11*F71)</f>
        <v>3.347906403653905</v>
      </c>
      <c r="F71">
        <f t="shared" si="42"/>
        <v>1.8888787142380536</v>
      </c>
      <c r="G71">
        <f t="shared" si="41"/>
        <v>0.9241315095416881</v>
      </c>
      <c r="H71">
        <f t="shared" si="40"/>
        <v>0.36795255184174247</v>
      </c>
      <c r="I71">
        <f t="shared" si="39"/>
        <v>0.10580884530021381</v>
      </c>
      <c r="J71">
        <f t="shared" si="38"/>
        <v>1.6342667554487263E-2</v>
      </c>
      <c r="K71">
        <f t="shared" si="37"/>
        <v>0</v>
      </c>
      <c r="L71">
        <f t="shared" si="36"/>
        <v>0</v>
      </c>
      <c r="M71">
        <f t="shared" si="35"/>
        <v>0</v>
      </c>
      <c r="N71">
        <f t="shared" si="34"/>
        <v>0</v>
      </c>
      <c r="O71">
        <f t="shared" si="33"/>
        <v>0</v>
      </c>
      <c r="P71">
        <f t="shared" si="32"/>
        <v>0</v>
      </c>
      <c r="Q71">
        <f t="shared" si="29"/>
        <v>0</v>
      </c>
      <c r="R71">
        <f t="shared" si="30"/>
        <v>3.775293528214371E-3</v>
      </c>
      <c r="S71">
        <f t="shared" si="31"/>
        <v>0</v>
      </c>
    </row>
    <row r="72" spans="1:19" x14ac:dyDescent="0.25">
      <c r="A72" s="49">
        <v>1</v>
      </c>
      <c r="C72">
        <f>$B$12 *($B$10*D71 + $B$11*D72)</f>
        <v>3.7855822205591125</v>
      </c>
      <c r="D72">
        <f t="shared" ref="D72:D73" si="44">$B$12 *($B$10*E71 + $B$11*E72)</f>
        <v>2.2665234096152589</v>
      </c>
      <c r="E72">
        <f t="shared" si="43"/>
        <v>1.2157398639857846</v>
      </c>
      <c r="F72">
        <f t="shared" si="42"/>
        <v>0.56177667785815655</v>
      </c>
      <c r="G72">
        <f t="shared" si="41"/>
        <v>0.20980507458763795</v>
      </c>
      <c r="H72">
        <f t="shared" si="40"/>
        <v>5.621252385106032E-2</v>
      </c>
      <c r="I72">
        <f t="shared" si="39"/>
        <v>8.050957523179891E-3</v>
      </c>
      <c r="J72">
        <f t="shared" si="38"/>
        <v>0</v>
      </c>
      <c r="K72">
        <f t="shared" si="37"/>
        <v>0</v>
      </c>
      <c r="L72">
        <f t="shared" si="36"/>
        <v>0</v>
      </c>
      <c r="M72">
        <f t="shared" si="35"/>
        <v>0</v>
      </c>
      <c r="N72">
        <f t="shared" si="34"/>
        <v>0</v>
      </c>
      <c r="O72">
        <f t="shared" si="33"/>
        <v>0</v>
      </c>
      <c r="P72">
        <f t="shared" si="32"/>
        <v>0</v>
      </c>
      <c r="Q72">
        <f t="shared" si="29"/>
        <v>0</v>
      </c>
      <c r="R72">
        <f t="shared" si="30"/>
        <v>5.5582046659413025E-4</v>
      </c>
      <c r="S72">
        <f t="shared" si="31"/>
        <v>0</v>
      </c>
    </row>
    <row r="73" spans="1:19" x14ac:dyDescent="0.25">
      <c r="A73" s="49">
        <v>0</v>
      </c>
      <c r="B73" s="64">
        <f>$B$12 *($B$10*C72 + $B$11*C73)</f>
        <v>2.6302485432529332</v>
      </c>
      <c r="C73">
        <f>$B$12 *($B$10*D72 + $B$11*D73)</f>
        <v>1.5074698015095225</v>
      </c>
      <c r="D73">
        <f t="shared" si="44"/>
        <v>0.76994963059949595</v>
      </c>
      <c r="E73">
        <f t="shared" si="43"/>
        <v>0.33688169799620266</v>
      </c>
      <c r="F73">
        <f t="shared" si="42"/>
        <v>0.11843879144458709</v>
      </c>
      <c r="G73">
        <f t="shared" si="41"/>
        <v>2.9705838525862456E-2</v>
      </c>
      <c r="H73">
        <f t="shared" si="40"/>
        <v>3.9661772977967469E-3</v>
      </c>
      <c r="I73">
        <f t="shared" si="39"/>
        <v>0</v>
      </c>
      <c r="J73">
        <f t="shared" si="38"/>
        <v>0</v>
      </c>
      <c r="K73">
        <f t="shared" si="37"/>
        <v>0</v>
      </c>
      <c r="L73">
        <f t="shared" si="36"/>
        <v>0</v>
      </c>
      <c r="M73">
        <f t="shared" si="35"/>
        <v>0</v>
      </c>
      <c r="N73">
        <f t="shared" si="34"/>
        <v>0</v>
      </c>
      <c r="O73">
        <f t="shared" si="33"/>
        <v>0</v>
      </c>
      <c r="P73">
        <f t="shared" si="32"/>
        <v>0</v>
      </c>
      <c r="Q73">
        <f t="shared" si="29"/>
        <v>0</v>
      </c>
      <c r="R73">
        <f t="shared" si="30"/>
        <v>3.8187842815977577E-5</v>
      </c>
      <c r="S73">
        <f t="shared" si="31"/>
        <v>0</v>
      </c>
    </row>
    <row r="76" spans="1:19" x14ac:dyDescent="0.25">
      <c r="A76" s="60" t="s">
        <v>36</v>
      </c>
    </row>
    <row r="77" spans="1:19" x14ac:dyDescent="0.25">
      <c r="A77" s="60"/>
    </row>
    <row r="78" spans="1:19" x14ac:dyDescent="0.25">
      <c r="B78" s="54">
        <v>0</v>
      </c>
      <c r="C78" s="54">
        <v>1</v>
      </c>
      <c r="D78" s="54">
        <v>2</v>
      </c>
      <c r="E78" s="54">
        <v>3</v>
      </c>
      <c r="F78" s="54">
        <v>4</v>
      </c>
      <c r="G78" s="54">
        <v>5</v>
      </c>
      <c r="H78" s="54">
        <v>6</v>
      </c>
      <c r="I78" s="54">
        <v>7</v>
      </c>
      <c r="J78" s="54">
        <v>8</v>
      </c>
      <c r="K78" s="54">
        <v>9</v>
      </c>
      <c r="L78" s="49">
        <v>10</v>
      </c>
      <c r="M78" s="61">
        <v>11</v>
      </c>
      <c r="N78" s="61">
        <v>12</v>
      </c>
      <c r="O78" s="61">
        <v>13</v>
      </c>
      <c r="P78" s="61">
        <v>14</v>
      </c>
      <c r="Q78" s="61">
        <v>15</v>
      </c>
    </row>
    <row r="79" spans="1:19" x14ac:dyDescent="0.25">
      <c r="A79">
        <v>15</v>
      </c>
      <c r="Q79">
        <f>Q36-Q58</f>
        <v>0</v>
      </c>
    </row>
    <row r="80" spans="1:19" x14ac:dyDescent="0.25">
      <c r="A80">
        <v>14</v>
      </c>
      <c r="P80">
        <f>P37-P59</f>
        <v>-4.9339553800471947E-2</v>
      </c>
      <c r="Q80">
        <f t="shared" ref="Q80:Q94" si="45">Q37-Q59</f>
        <v>0</v>
      </c>
    </row>
    <row r="81" spans="1:17" x14ac:dyDescent="0.25">
      <c r="A81">
        <v>13</v>
      </c>
      <c r="O81">
        <f>O38-O60</f>
        <v>-9.2173146307281684E-2</v>
      </c>
      <c r="P81">
        <f t="shared" ref="P81:P94" si="46">P38-P60</f>
        <v>-4.2928568747889528E-2</v>
      </c>
      <c r="Q81">
        <f t="shared" si="45"/>
        <v>0</v>
      </c>
    </row>
    <row r="82" spans="1:17" x14ac:dyDescent="0.25">
      <c r="A82">
        <v>12</v>
      </c>
      <c r="N82">
        <f>N39-N61</f>
        <v>-0.12886847506285903</v>
      </c>
      <c r="O82">
        <f t="shared" ref="O82:O94" si="47">O39-O61</f>
        <v>-7.9835190957965096E-2</v>
      </c>
      <c r="P82">
        <f t="shared" si="46"/>
        <v>-3.6995430630319959E-2</v>
      </c>
      <c r="Q82">
        <f t="shared" si="45"/>
        <v>0</v>
      </c>
    </row>
    <row r="83" spans="1:17" x14ac:dyDescent="0.25">
      <c r="A83">
        <v>11</v>
      </c>
      <c r="M83">
        <f>M40-M62</f>
        <v>-0.15977473001795772</v>
      </c>
      <c r="N83">
        <f t="shared" ref="N83:N94" si="48">N40-N62</f>
        <v>-0.1110601572937</v>
      </c>
      <c r="O83">
        <f t="shared" si="47"/>
        <v>-6.8416853124507071E-2</v>
      </c>
      <c r="P83">
        <f t="shared" si="46"/>
        <v>-3.1504522816145908E-2</v>
      </c>
      <c r="Q83">
        <f t="shared" si="45"/>
        <v>0</v>
      </c>
    </row>
    <row r="84" spans="1:17" x14ac:dyDescent="0.25">
      <c r="A84" s="49">
        <v>10</v>
      </c>
      <c r="L84">
        <f>L41-L63</f>
        <v>-0.18522346686764735</v>
      </c>
      <c r="M84">
        <f t="shared" ref="M84:M94" si="49">M41-M63</f>
        <v>-0.13692663030215613</v>
      </c>
      <c r="N84">
        <f t="shared" si="48"/>
        <v>-9.4579194056553462E-2</v>
      </c>
      <c r="O84">
        <f t="shared" si="47"/>
        <v>-5.7849588518074313E-2</v>
      </c>
      <c r="P84">
        <f t="shared" si="46"/>
        <v>-2.6422883382412721E-2</v>
      </c>
      <c r="Q84">
        <f t="shared" si="45"/>
        <v>0</v>
      </c>
    </row>
    <row r="85" spans="1:17" x14ac:dyDescent="0.25">
      <c r="A85" s="49">
        <v>9</v>
      </c>
      <c r="K85">
        <f>K42-K64</f>
        <v>-0.20552944082423608</v>
      </c>
      <c r="L85">
        <f t="shared" ref="L85:L94" si="50">L42-L64</f>
        <v>-0.15774145265526585</v>
      </c>
      <c r="M85">
        <f t="shared" si="49"/>
        <v>-0.11578152853924806</v>
      </c>
      <c r="N85">
        <f t="shared" si="48"/>
        <v>-7.9326650119220687E-2</v>
      </c>
      <c r="O85">
        <f t="shared" si="47"/>
        <v>-4.8069961842827524E-2</v>
      </c>
      <c r="P85">
        <f t="shared" si="46"/>
        <v>-2.1720007244545592E-2</v>
      </c>
      <c r="Q85">
        <f t="shared" si="45"/>
        <v>0</v>
      </c>
    </row>
    <row r="86" spans="1:17" x14ac:dyDescent="0.25">
      <c r="A86" s="49">
        <v>8</v>
      </c>
      <c r="J86">
        <f>J43-J65</f>
        <v>-0.27360221744999791</v>
      </c>
      <c r="K86">
        <f t="shared" ref="K86:K94" si="51">K43-K65</f>
        <v>-0.27742188396251777</v>
      </c>
      <c r="L86">
        <f t="shared" si="50"/>
        <v>-0.3364168252994304</v>
      </c>
      <c r="M86">
        <f t="shared" si="49"/>
        <v>-0.49823994212177602</v>
      </c>
      <c r="N86">
        <f t="shared" si="48"/>
        <v>-0.85707253858600119</v>
      </c>
      <c r="O86">
        <f t="shared" si="47"/>
        <v>-1.598725575421033</v>
      </c>
      <c r="P86">
        <f t="shared" si="46"/>
        <v>-1.1433400383704577</v>
      </c>
      <c r="Q86">
        <f t="shared" si="45"/>
        <v>0</v>
      </c>
    </row>
    <row r="87" spans="1:17" x14ac:dyDescent="0.25">
      <c r="A87" s="49">
        <v>7</v>
      </c>
      <c r="I87">
        <f>I44-I66</f>
        <v>-0.50014718898051314</v>
      </c>
      <c r="J87">
        <f t="shared" ref="J87:J94" si="52">J44-J66</f>
        <v>-0.66268943073249176</v>
      </c>
      <c r="K87">
        <f t="shared" si="51"/>
        <v>-0.98404542474852974</v>
      </c>
      <c r="L87">
        <f t="shared" si="50"/>
        <v>-1.5644876641520877</v>
      </c>
      <c r="M87">
        <f t="shared" si="49"/>
        <v>-2.5552880944220853</v>
      </c>
      <c r="N87">
        <f t="shared" si="48"/>
        <v>-2.2168877476946443</v>
      </c>
      <c r="O87">
        <f t="shared" si="47"/>
        <v>-0.5632484447708157</v>
      </c>
      <c r="P87">
        <f t="shared" si="46"/>
        <v>0</v>
      </c>
      <c r="Q87">
        <f t="shared" si="45"/>
        <v>0</v>
      </c>
    </row>
    <row r="88" spans="1:17" x14ac:dyDescent="0.25">
      <c r="A88" s="49">
        <v>6</v>
      </c>
      <c r="H88">
        <f>H45-H67</f>
        <v>-1.0152088435973141</v>
      </c>
      <c r="I88">
        <f t="shared" ref="I88:I94" si="53">I45-I67</f>
        <v>-1.4622760868743665</v>
      </c>
      <c r="J88">
        <f t="shared" si="52"/>
        <v>-2.1898533048321625</v>
      </c>
      <c r="K88">
        <f t="shared" si="51"/>
        <v>-3.3156620783755244</v>
      </c>
      <c r="L88">
        <f t="shared" si="50"/>
        <v>-3.0281498338112716</v>
      </c>
      <c r="M88">
        <f t="shared" si="49"/>
        <v>-1.2329888586058197</v>
      </c>
      <c r="N88">
        <f t="shared" si="48"/>
        <v>-0.27747546651904242</v>
      </c>
      <c r="O88">
        <f t="shared" si="47"/>
        <v>0</v>
      </c>
      <c r="P88">
        <f t="shared" si="46"/>
        <v>0</v>
      </c>
      <c r="Q88">
        <f t="shared" si="45"/>
        <v>0</v>
      </c>
    </row>
    <row r="89" spans="1:17" x14ac:dyDescent="0.25">
      <c r="A89" s="49">
        <v>5</v>
      </c>
      <c r="G89">
        <f>G46-G68</f>
        <v>-1.9240015439569778</v>
      </c>
      <c r="H89">
        <f t="shared" ref="H89:H94" si="54">H46-H68</f>
        <v>-2.7572411437176481</v>
      </c>
      <c r="I89">
        <f t="shared" si="53"/>
        <v>-3.9691889552519042</v>
      </c>
      <c r="J89">
        <f t="shared" si="52"/>
        <v>-3.7085731715620707</v>
      </c>
      <c r="K89">
        <f t="shared" si="51"/>
        <v>-1.8353871087459979</v>
      </c>
      <c r="L89">
        <f t="shared" si="50"/>
        <v>-0.67681190728693041</v>
      </c>
      <c r="M89">
        <f t="shared" si="49"/>
        <v>-0.13669391408845938</v>
      </c>
      <c r="N89">
        <f t="shared" si="48"/>
        <v>0</v>
      </c>
      <c r="O89">
        <f t="shared" si="47"/>
        <v>0</v>
      </c>
      <c r="P89">
        <f t="shared" si="46"/>
        <v>0</v>
      </c>
      <c r="Q89">
        <f t="shared" si="45"/>
        <v>0</v>
      </c>
    </row>
    <row r="90" spans="1:17" x14ac:dyDescent="0.25">
      <c r="A90" s="49">
        <v>4</v>
      </c>
      <c r="F90">
        <f>F47-F69</f>
        <v>-3.2809687797530227</v>
      </c>
      <c r="G90">
        <f t="shared" ref="G90:G94" si="55">G47-G69</f>
        <v>-4.5527350698994757</v>
      </c>
      <c r="H90">
        <f t="shared" si="54"/>
        <v>-4.3074149036134806</v>
      </c>
      <c r="I90">
        <f t="shared" si="53"/>
        <v>-2.3807731250920638</v>
      </c>
      <c r="J90">
        <f t="shared" si="52"/>
        <v>-1.0908094181204342</v>
      </c>
      <c r="K90">
        <f t="shared" si="51"/>
        <v>-0.3676092286666261</v>
      </c>
      <c r="L90">
        <f t="shared" si="50"/>
        <v>-6.7340101751088649E-2</v>
      </c>
      <c r="M90">
        <f t="shared" si="49"/>
        <v>0</v>
      </c>
      <c r="N90">
        <f t="shared" si="48"/>
        <v>0</v>
      </c>
      <c r="O90">
        <f t="shared" si="47"/>
        <v>0</v>
      </c>
      <c r="P90">
        <f t="shared" si="46"/>
        <v>0</v>
      </c>
      <c r="Q90">
        <f t="shared" si="45"/>
        <v>0</v>
      </c>
    </row>
    <row r="91" spans="1:17" x14ac:dyDescent="0.25">
      <c r="A91" s="49">
        <v>3</v>
      </c>
      <c r="E91">
        <f>E48-E70</f>
        <v>-5.0858487104913195</v>
      </c>
      <c r="F91">
        <f t="shared" ref="F91:F94" si="56">F48-F70</f>
        <v>-4.84928596081064</v>
      </c>
      <c r="G91">
        <f t="shared" si="55"/>
        <v>-2.8818499173143395</v>
      </c>
      <c r="H91">
        <f t="shared" si="54"/>
        <v>-1.4966932021482062</v>
      </c>
      <c r="I91">
        <f t="shared" si="53"/>
        <v>-0.63786368964694762</v>
      </c>
      <c r="J91">
        <f t="shared" si="52"/>
        <v>-0.19793932281267718</v>
      </c>
      <c r="K91">
        <f t="shared" si="51"/>
        <v>-3.3174039488783807E-2</v>
      </c>
      <c r="L91">
        <f t="shared" si="50"/>
        <v>0</v>
      </c>
      <c r="M91">
        <f t="shared" si="49"/>
        <v>0</v>
      </c>
      <c r="N91">
        <f t="shared" si="48"/>
        <v>0</v>
      </c>
      <c r="O91">
        <f t="shared" si="47"/>
        <v>0</v>
      </c>
      <c r="P91">
        <f t="shared" si="46"/>
        <v>0</v>
      </c>
      <c r="Q91">
        <f t="shared" si="45"/>
        <v>0</v>
      </c>
    </row>
    <row r="92" spans="1:17" x14ac:dyDescent="0.25">
      <c r="A92" s="49">
        <v>2</v>
      </c>
      <c r="D92">
        <f>D49-D71</f>
        <v>-5.3485324750714787</v>
      </c>
      <c r="E92">
        <f t="shared" ref="E92:E94" si="57">E49-E71</f>
        <v>-3.347906403653905</v>
      </c>
      <c r="F92">
        <f t="shared" si="56"/>
        <v>-1.8888787142380536</v>
      </c>
      <c r="G92">
        <f t="shared" si="55"/>
        <v>-0.9241315095416881</v>
      </c>
      <c r="H92">
        <f t="shared" si="54"/>
        <v>-0.36795255184174247</v>
      </c>
      <c r="I92">
        <f t="shared" si="53"/>
        <v>-0.10580884530021381</v>
      </c>
      <c r="J92">
        <f t="shared" si="52"/>
        <v>-1.6342667554487263E-2</v>
      </c>
      <c r="K92">
        <f t="shared" si="51"/>
        <v>0</v>
      </c>
      <c r="L92">
        <f t="shared" si="50"/>
        <v>0</v>
      </c>
      <c r="M92">
        <f t="shared" si="49"/>
        <v>0</v>
      </c>
      <c r="N92">
        <f t="shared" si="48"/>
        <v>0</v>
      </c>
      <c r="O92">
        <f t="shared" si="47"/>
        <v>0</v>
      </c>
      <c r="P92">
        <f t="shared" si="46"/>
        <v>0</v>
      </c>
      <c r="Q92">
        <f t="shared" si="45"/>
        <v>0</v>
      </c>
    </row>
    <row r="93" spans="1:17" x14ac:dyDescent="0.25">
      <c r="A93" s="49">
        <v>1</v>
      </c>
      <c r="C93">
        <f>C50-C72</f>
        <v>-3.7855822205591125</v>
      </c>
      <c r="D93">
        <f t="shared" ref="D93:D94" si="58">D50-D72</f>
        <v>-2.2665234096152589</v>
      </c>
      <c r="E93">
        <f t="shared" si="57"/>
        <v>-1.2157398639857846</v>
      </c>
      <c r="F93">
        <f t="shared" si="56"/>
        <v>-0.56177667785815655</v>
      </c>
      <c r="G93">
        <f t="shared" si="55"/>
        <v>-0.20980507458763795</v>
      </c>
      <c r="H93">
        <f t="shared" si="54"/>
        <v>-5.621252385106032E-2</v>
      </c>
      <c r="I93">
        <f t="shared" si="53"/>
        <v>-8.050957523179891E-3</v>
      </c>
      <c r="J93">
        <f t="shared" si="52"/>
        <v>0</v>
      </c>
      <c r="K93">
        <f t="shared" si="51"/>
        <v>0</v>
      </c>
      <c r="L93">
        <f t="shared" si="50"/>
        <v>0</v>
      </c>
      <c r="M93">
        <f t="shared" si="49"/>
        <v>0</v>
      </c>
      <c r="N93">
        <f t="shared" si="48"/>
        <v>0</v>
      </c>
      <c r="O93">
        <f t="shared" si="47"/>
        <v>0</v>
      </c>
      <c r="P93">
        <f t="shared" si="46"/>
        <v>0</v>
      </c>
      <c r="Q93">
        <f t="shared" si="45"/>
        <v>0</v>
      </c>
    </row>
    <row r="94" spans="1:17" x14ac:dyDescent="0.25">
      <c r="A94" s="49">
        <v>0</v>
      </c>
      <c r="B94">
        <f>B51-B73</f>
        <v>-2.6302485432529332</v>
      </c>
      <c r="C94">
        <f>C51-C73</f>
        <v>-1.5074698015095225</v>
      </c>
      <c r="D94">
        <f t="shared" si="58"/>
        <v>-0.76994963059949595</v>
      </c>
      <c r="E94">
        <f t="shared" si="57"/>
        <v>-0.33688169799620266</v>
      </c>
      <c r="F94">
        <f t="shared" si="56"/>
        <v>-0.11843879144458709</v>
      </c>
      <c r="G94">
        <f t="shared" si="55"/>
        <v>-2.9705838525862456E-2</v>
      </c>
      <c r="H94">
        <f t="shared" si="54"/>
        <v>-3.9661772977967469E-3</v>
      </c>
      <c r="I94">
        <f t="shared" si="53"/>
        <v>0</v>
      </c>
      <c r="J94">
        <f t="shared" si="52"/>
        <v>0</v>
      </c>
      <c r="K94">
        <f t="shared" si="51"/>
        <v>0</v>
      </c>
      <c r="L94">
        <f t="shared" si="50"/>
        <v>0</v>
      </c>
      <c r="M94">
        <f t="shared" si="49"/>
        <v>0</v>
      </c>
      <c r="N94">
        <f t="shared" si="48"/>
        <v>0</v>
      </c>
      <c r="O94">
        <f t="shared" si="47"/>
        <v>0</v>
      </c>
      <c r="P94">
        <f t="shared" si="46"/>
        <v>0</v>
      </c>
      <c r="Q94">
        <f t="shared" si="45"/>
        <v>0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"/>
  <sheetViews>
    <sheetView topLeftCell="A91" zoomScale="70" zoomScaleNormal="70" workbookViewId="0">
      <selection activeCell="B115" sqref="B115"/>
    </sheetView>
  </sheetViews>
  <sheetFormatPr baseColWidth="10" defaultRowHeight="15" x14ac:dyDescent="0.25"/>
  <cols>
    <col min="18" max="19" width="14.85546875" bestFit="1" customWidth="1"/>
  </cols>
  <sheetData>
    <row r="1" spans="1:23" ht="15.75" thickBot="1" x14ac:dyDescent="0.3">
      <c r="A1" s="69" t="s">
        <v>0</v>
      </c>
      <c r="B1" s="70"/>
      <c r="F1" s="69" t="s">
        <v>1</v>
      </c>
      <c r="G1" s="70"/>
    </row>
    <row r="2" spans="1:23" x14ac:dyDescent="0.25">
      <c r="A2" s="3" t="s">
        <v>2</v>
      </c>
      <c r="B2" s="4">
        <v>100</v>
      </c>
      <c r="F2" s="50" t="s">
        <v>20</v>
      </c>
      <c r="G2" s="42">
        <f>-1</f>
        <v>-1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23" x14ac:dyDescent="0.25">
      <c r="A4" s="7" t="s">
        <v>5</v>
      </c>
      <c r="B4" s="10">
        <v>0.3</v>
      </c>
    </row>
    <row r="5" spans="1:23" x14ac:dyDescent="0.25">
      <c r="A5" s="7" t="s">
        <v>6</v>
      </c>
      <c r="B5" s="11">
        <v>15</v>
      </c>
    </row>
    <row r="6" spans="1:23" x14ac:dyDescent="0.25">
      <c r="A6" s="7" t="s">
        <v>22</v>
      </c>
      <c r="B6" s="46">
        <v>0.02</v>
      </c>
    </row>
    <row r="7" spans="1:23" ht="15.75" thickBot="1" x14ac:dyDescent="0.3">
      <c r="A7" s="47" t="s">
        <v>23</v>
      </c>
      <c r="B7" s="48">
        <v>0.01</v>
      </c>
      <c r="S7">
        <f ca="1">S7:Y24</f>
        <v>0</v>
      </c>
    </row>
    <row r="8" spans="1:23" x14ac:dyDescent="0.25">
      <c r="A8" s="13" t="s">
        <v>8</v>
      </c>
      <c r="B8" s="14">
        <f>EXP(B4*SQRT(B3/B5))</f>
        <v>1.0394896104013376</v>
      </c>
    </row>
    <row r="9" spans="1:23" x14ac:dyDescent="0.25">
      <c r="A9" s="15" t="s">
        <v>9</v>
      </c>
      <c r="B9" s="16">
        <f>1/B8</f>
        <v>0.96201057710803761</v>
      </c>
      <c r="S9" s="55"/>
      <c r="T9" s="55"/>
      <c r="U9" s="55"/>
      <c r="V9" s="55"/>
      <c r="W9" s="55"/>
    </row>
    <row r="10" spans="1:23" x14ac:dyDescent="0.25">
      <c r="A10" s="15" t="s">
        <v>10</v>
      </c>
      <c r="B10" s="18">
        <f>(EXP((B6 - B7) * B3/B5) - B9) / (B8 - B9)</f>
        <v>0.49247005062451049</v>
      </c>
      <c r="S10" s="55"/>
      <c r="T10" s="55"/>
      <c r="U10" s="55"/>
      <c r="V10" s="55"/>
      <c r="W10" s="55"/>
    </row>
    <row r="11" spans="1:23" ht="15.75" thickBot="1" x14ac:dyDescent="0.3">
      <c r="A11" s="19" t="s">
        <v>11</v>
      </c>
      <c r="B11" s="20">
        <f>1 - B10</f>
        <v>0.50752994937548945</v>
      </c>
      <c r="S11" s="55"/>
      <c r="T11" s="55"/>
      <c r="U11" s="55"/>
      <c r="V11" s="55"/>
      <c r="W11" s="55"/>
    </row>
    <row r="12" spans="1:23" x14ac:dyDescent="0.25">
      <c r="A12" s="15" t="s">
        <v>7</v>
      </c>
      <c r="B12">
        <f>EXP($B$6*$B$3/$B$5)</f>
        <v>1.0003333888950623</v>
      </c>
      <c r="S12" s="55"/>
      <c r="T12" s="55"/>
      <c r="U12" s="55"/>
      <c r="V12" s="55"/>
      <c r="W12" s="55"/>
    </row>
    <row r="13" spans="1:23" x14ac:dyDescent="0.25">
      <c r="A13" s="15" t="s">
        <v>37</v>
      </c>
      <c r="B13">
        <f>1 / $B$12</f>
        <v>0.9996667222160498</v>
      </c>
      <c r="S13" s="55"/>
      <c r="T13" s="55"/>
      <c r="U13" s="55"/>
      <c r="V13" s="55"/>
      <c r="W13" s="55"/>
    </row>
    <row r="14" spans="1:23" x14ac:dyDescent="0.25">
      <c r="A14" s="53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S14" s="55"/>
      <c r="T14" s="55"/>
      <c r="U14" s="55"/>
      <c r="V14" s="55"/>
      <c r="W14" s="55"/>
    </row>
    <row r="15" spans="1:23" x14ac:dyDescent="0.25">
      <c r="A15" s="49"/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61">
        <v>11</v>
      </c>
      <c r="N15" s="61">
        <v>12</v>
      </c>
      <c r="O15" s="61">
        <v>13</v>
      </c>
      <c r="P15" s="61">
        <v>14</v>
      </c>
      <c r="Q15" s="61">
        <v>15</v>
      </c>
      <c r="S15" s="55"/>
      <c r="T15" s="55"/>
      <c r="U15" s="55"/>
      <c r="V15" s="55"/>
      <c r="W15" s="55"/>
    </row>
    <row r="16" spans="1:23" x14ac:dyDescent="0.25">
      <c r="A16">
        <v>15</v>
      </c>
      <c r="Q16">
        <f>P17*$B$8</f>
        <v>178.77315075823685</v>
      </c>
      <c r="S16" s="55"/>
      <c r="T16" s="55"/>
      <c r="U16" s="55"/>
      <c r="V16" s="55"/>
      <c r="W16" s="55"/>
    </row>
    <row r="17" spans="1:23" x14ac:dyDescent="0.25">
      <c r="A17">
        <v>14</v>
      </c>
      <c r="P17">
        <f>O18*$B$8</f>
        <v>171.98166193235366</v>
      </c>
      <c r="Q17">
        <f t="shared" ref="Q17:Q30" si="0">P18*$B$8</f>
        <v>165.44817784754298</v>
      </c>
      <c r="S17" s="55"/>
      <c r="T17" s="55"/>
      <c r="U17" s="55"/>
      <c r="V17" s="55"/>
      <c r="W17" s="55"/>
    </row>
    <row r="18" spans="1:23" x14ac:dyDescent="0.25">
      <c r="A18">
        <v>13</v>
      </c>
      <c r="O18">
        <f>N19*$B$8</f>
        <v>165.44817784754298</v>
      </c>
      <c r="P18">
        <f t="shared" ref="P18:P30" si="1">O19*$B$8</f>
        <v>159.16289705258808</v>
      </c>
      <c r="Q18">
        <f t="shared" si="0"/>
        <v>153.11639044774745</v>
      </c>
      <c r="S18" s="55"/>
      <c r="T18" s="55"/>
      <c r="U18" s="55"/>
      <c r="V18" s="55"/>
      <c r="W18" s="55"/>
    </row>
    <row r="19" spans="1:23" x14ac:dyDescent="0.25">
      <c r="A19">
        <v>12</v>
      </c>
      <c r="N19">
        <f>M20*$B$8</f>
        <v>159.16289705258808</v>
      </c>
      <c r="O19">
        <f t="shared" ref="O19:O30" si="2">N20*$B$8</f>
        <v>153.11639044774745</v>
      </c>
      <c r="P19">
        <f t="shared" si="1"/>
        <v>147.29958713933715</v>
      </c>
      <c r="Q19">
        <f t="shared" si="0"/>
        <v>141.70376083168938</v>
      </c>
      <c r="S19" s="55"/>
      <c r="T19" s="55"/>
      <c r="U19" s="55"/>
      <c r="V19" s="55"/>
      <c r="W19" s="55"/>
    </row>
    <row r="20" spans="1:23" x14ac:dyDescent="0.25">
      <c r="A20">
        <v>11</v>
      </c>
      <c r="M20">
        <f>L21*$B$8</f>
        <v>153.11639044774745</v>
      </c>
      <c r="N20">
        <f t="shared" ref="N20:N30" si="3">M21*$B$8</f>
        <v>147.29958713933715</v>
      </c>
      <c r="O20">
        <f t="shared" si="2"/>
        <v>141.70376083168941</v>
      </c>
      <c r="P20">
        <f t="shared" si="1"/>
        <v>136.32051673607285</v>
      </c>
      <c r="Q20">
        <f t="shared" si="0"/>
        <v>131.14177897693534</v>
      </c>
    </row>
    <row r="21" spans="1:23" x14ac:dyDescent="0.25">
      <c r="A21" s="49">
        <v>10</v>
      </c>
      <c r="B21" s="54"/>
      <c r="C21" s="55" t="str">
        <f t="shared" ref="C21:K29" ca="1" si="4">IF($A21&lt;C$15,$B$9*OFFSET(C21,0,-1),IF($A21=C$15,$B$8*OFFSET(C21,1,-1),""))</f>
        <v/>
      </c>
      <c r="D21" s="55" t="str">
        <f t="shared" ca="1" si="4"/>
        <v/>
      </c>
      <c r="E21" s="55" t="str">
        <f t="shared" ca="1" si="4"/>
        <v/>
      </c>
      <c r="F21" s="55" t="str">
        <f t="shared" ca="1" si="4"/>
        <v/>
      </c>
      <c r="G21" s="55" t="str">
        <f t="shared" ca="1" si="4"/>
        <v/>
      </c>
      <c r="H21" s="55" t="str">
        <f t="shared" ca="1" si="4"/>
        <v/>
      </c>
      <c r="I21" s="55" t="str">
        <f t="shared" ca="1" si="4"/>
        <v/>
      </c>
      <c r="J21" s="55" t="str">
        <f t="shared" ca="1" si="4"/>
        <v/>
      </c>
      <c r="K21" s="55" t="str">
        <f t="shared" ca="1" si="4"/>
        <v/>
      </c>
      <c r="L21" s="55">
        <f>$B$8*K22</f>
        <v>147.29958713933715</v>
      </c>
      <c r="M21">
        <f t="shared" ref="M21:M30" si="5">L22*$B$8</f>
        <v>141.70376083168941</v>
      </c>
      <c r="N21">
        <f t="shared" si="3"/>
        <v>136.32051673607288</v>
      </c>
      <c r="O21">
        <f t="shared" si="2"/>
        <v>131.14177897693534</v>
      </c>
      <c r="P21">
        <f t="shared" si="1"/>
        <v>126.15977847657628</v>
      </c>
      <c r="Q21">
        <f t="shared" si="0"/>
        <v>121.36704130007332</v>
      </c>
    </row>
    <row r="22" spans="1:23" x14ac:dyDescent="0.25">
      <c r="A22" s="49">
        <v>9</v>
      </c>
      <c r="B22" s="54"/>
      <c r="C22" s="55" t="str">
        <f t="shared" ca="1" si="4"/>
        <v/>
      </c>
      <c r="D22" s="55" t="str">
        <f t="shared" ca="1" si="4"/>
        <v/>
      </c>
      <c r="E22" s="55" t="str">
        <f t="shared" ca="1" si="4"/>
        <v/>
      </c>
      <c r="F22" s="55" t="str">
        <f t="shared" ca="1" si="4"/>
        <v/>
      </c>
      <c r="G22" s="55" t="str">
        <f t="shared" ca="1" si="4"/>
        <v/>
      </c>
      <c r="H22" s="55" t="str">
        <f t="shared" ca="1" si="4"/>
        <v/>
      </c>
      <c r="I22" s="55" t="str">
        <f t="shared" ca="1" si="4"/>
        <v/>
      </c>
      <c r="J22" s="55" t="str">
        <f t="shared" ca="1" si="4"/>
        <v/>
      </c>
      <c r="K22" s="55">
        <f>$B$8*J23</f>
        <v>141.70376083168941</v>
      </c>
      <c r="L22" s="55">
        <f t="shared" ref="L22:L30" si="6">$B$8*K23</f>
        <v>136.32051673607288</v>
      </c>
      <c r="M22">
        <f t="shared" si="5"/>
        <v>131.14177897693537</v>
      </c>
      <c r="N22">
        <f t="shared" si="3"/>
        <v>126.15977847657629</v>
      </c>
      <c r="O22">
        <f t="shared" si="2"/>
        <v>121.36704130007334</v>
      </c>
      <c r="P22">
        <f t="shared" si="1"/>
        <v>116.75637744297858</v>
      </c>
      <c r="Q22">
        <f t="shared" si="0"/>
        <v>112.32087004496367</v>
      </c>
    </row>
    <row r="23" spans="1:23" x14ac:dyDescent="0.25">
      <c r="A23" s="49">
        <v>8</v>
      </c>
      <c r="B23" s="54"/>
      <c r="C23" s="55" t="str">
        <f t="shared" ca="1" si="4"/>
        <v/>
      </c>
      <c r="D23" s="55" t="str">
        <f t="shared" ca="1" si="4"/>
        <v/>
      </c>
      <c r="E23" s="55" t="str">
        <f t="shared" ca="1" si="4"/>
        <v/>
      </c>
      <c r="F23" s="55" t="str">
        <f t="shared" ca="1" si="4"/>
        <v/>
      </c>
      <c r="G23" s="55" t="str">
        <f t="shared" ca="1" si="4"/>
        <v/>
      </c>
      <c r="H23" s="55" t="str">
        <f t="shared" ca="1" si="4"/>
        <v/>
      </c>
      <c r="I23" s="55" t="str">
        <f t="shared" ca="1" si="4"/>
        <v/>
      </c>
      <c r="J23" s="55">
        <f>$B$8*I24</f>
        <v>136.32051673607288</v>
      </c>
      <c r="K23" s="55">
        <f t="shared" ref="K23:K30" si="7">$B$8*J24</f>
        <v>131.14177897693537</v>
      </c>
      <c r="L23" s="55">
        <f t="shared" si="6"/>
        <v>126.15977847657631</v>
      </c>
      <c r="M23">
        <f t="shared" si="5"/>
        <v>121.36704130007335</v>
      </c>
      <c r="N23">
        <f t="shared" si="3"/>
        <v>116.75637744297859</v>
      </c>
      <c r="O23">
        <f t="shared" si="2"/>
        <v>112.32087004496368</v>
      </c>
      <c r="P23">
        <f t="shared" si="1"/>
        <v>108.0538650132324</v>
      </c>
      <c r="Q23">
        <f t="shared" si="0"/>
        <v>103.9489610401337</v>
      </c>
    </row>
    <row r="24" spans="1:23" x14ac:dyDescent="0.25">
      <c r="A24" s="49">
        <v>7</v>
      </c>
      <c r="B24" s="54"/>
      <c r="C24" s="55" t="str">
        <f t="shared" ca="1" si="4"/>
        <v/>
      </c>
      <c r="D24" s="55" t="str">
        <f t="shared" ca="1" si="4"/>
        <v/>
      </c>
      <c r="E24" s="55" t="str">
        <f t="shared" ca="1" si="4"/>
        <v/>
      </c>
      <c r="F24" s="55" t="str">
        <f t="shared" ca="1" si="4"/>
        <v/>
      </c>
      <c r="G24" s="55" t="str">
        <f t="shared" ca="1" si="4"/>
        <v/>
      </c>
      <c r="H24" s="55" t="str">
        <f t="shared" ca="1" si="4"/>
        <v/>
      </c>
      <c r="I24" s="55">
        <f>$B$8*H25</f>
        <v>131.14177897693537</v>
      </c>
      <c r="J24" s="55">
        <f t="shared" ref="J24:J30" si="8">$B$8*I25</f>
        <v>126.15977847657631</v>
      </c>
      <c r="K24" s="55">
        <f t="shared" si="7"/>
        <v>121.36704130007337</v>
      </c>
      <c r="L24" s="55">
        <f t="shared" si="6"/>
        <v>116.7563774429786</v>
      </c>
      <c r="M24">
        <f t="shared" si="5"/>
        <v>112.3208700449637</v>
      </c>
      <c r="N24">
        <f t="shared" si="3"/>
        <v>108.05386501323241</v>
      </c>
      <c r="O24">
        <f t="shared" si="2"/>
        <v>103.9489610401337</v>
      </c>
      <c r="P24">
        <f t="shared" si="1"/>
        <v>99.999999999999943</v>
      </c>
      <c r="Q24">
        <f t="shared" si="0"/>
        <v>96.20105771080371</v>
      </c>
    </row>
    <row r="25" spans="1:23" x14ac:dyDescent="0.25">
      <c r="A25" s="49">
        <v>6</v>
      </c>
      <c r="B25" s="54"/>
      <c r="C25" s="55" t="str">
        <f t="shared" ca="1" si="4"/>
        <v/>
      </c>
      <c r="D25" s="55" t="str">
        <f t="shared" ca="1" si="4"/>
        <v/>
      </c>
      <c r="E25" s="55" t="str">
        <f t="shared" ca="1" si="4"/>
        <v/>
      </c>
      <c r="F25" s="55" t="str">
        <f t="shared" ca="1" si="4"/>
        <v/>
      </c>
      <c r="G25" s="55" t="str">
        <f t="shared" ca="1" si="4"/>
        <v/>
      </c>
      <c r="H25" s="55">
        <f>G26*$B$8</f>
        <v>126.15977847657631</v>
      </c>
      <c r="I25" s="55">
        <f t="shared" ref="I25:I30" si="9">$B$8*H26</f>
        <v>121.36704130007337</v>
      </c>
      <c r="J25" s="55">
        <f t="shared" si="8"/>
        <v>116.75637744297862</v>
      </c>
      <c r="K25" s="55">
        <f t="shared" si="7"/>
        <v>112.32087004496371</v>
      </c>
      <c r="L25" s="55">
        <f t="shared" si="6"/>
        <v>108.05386501323242</v>
      </c>
      <c r="M25">
        <f t="shared" si="5"/>
        <v>103.94896104013371</v>
      </c>
      <c r="N25">
        <f t="shared" si="3"/>
        <v>99.999999999999943</v>
      </c>
      <c r="O25">
        <f t="shared" si="2"/>
        <v>96.20105771080371</v>
      </c>
      <c r="P25">
        <f t="shared" si="1"/>
        <v>92.546435046773908</v>
      </c>
      <c r="Q25">
        <f t="shared" si="0"/>
        <v>89.03064938863848</v>
      </c>
    </row>
    <row r="26" spans="1:23" x14ac:dyDescent="0.25">
      <c r="A26" s="49">
        <v>5</v>
      </c>
      <c r="B26" s="49"/>
      <c r="C26" s="55" t="str">
        <f t="shared" ca="1" si="4"/>
        <v/>
      </c>
      <c r="D26" s="55" t="str">
        <f t="shared" ca="1" si="4"/>
        <v/>
      </c>
      <c r="E26" s="55" t="str">
        <f t="shared" ca="1" si="4"/>
        <v/>
      </c>
      <c r="F26" s="55" t="str">
        <f t="shared" ca="1" si="4"/>
        <v/>
      </c>
      <c r="G26" s="55">
        <f>F27*$B$8</f>
        <v>121.36704130007337</v>
      </c>
      <c r="H26" s="55">
        <f t="shared" ref="H26:H30" si="10">G27*$B$8</f>
        <v>116.75637744297862</v>
      </c>
      <c r="I26" s="55">
        <f t="shared" si="9"/>
        <v>112.32087004496373</v>
      </c>
      <c r="J26" s="55">
        <f t="shared" si="8"/>
        <v>108.05386501323244</v>
      </c>
      <c r="K26" s="55">
        <f t="shared" si="7"/>
        <v>103.94896104013372</v>
      </c>
      <c r="L26" s="55">
        <f t="shared" si="6"/>
        <v>99.999999999999957</v>
      </c>
      <c r="M26">
        <f t="shared" si="5"/>
        <v>96.20105771080371</v>
      </c>
      <c r="N26">
        <f t="shared" si="3"/>
        <v>92.546435046773908</v>
      </c>
      <c r="O26">
        <f t="shared" si="2"/>
        <v>89.030649388638494</v>
      </c>
      <c r="P26">
        <f t="shared" si="1"/>
        <v>85.648426398667468</v>
      </c>
      <c r="Q26">
        <f t="shared" si="0"/>
        <v>82.394692108177381</v>
      </c>
    </row>
    <row r="27" spans="1:23" x14ac:dyDescent="0.25">
      <c r="A27" s="49">
        <v>4</v>
      </c>
      <c r="B27" s="49"/>
      <c r="C27" s="55" t="str">
        <f t="shared" ca="1" si="4"/>
        <v/>
      </c>
      <c r="D27" s="55" t="str">
        <f t="shared" ca="1" si="4"/>
        <v/>
      </c>
      <c r="E27" s="55" t="str">
        <f t="shared" ca="1" si="4"/>
        <v/>
      </c>
      <c r="F27" s="55">
        <f>E28*$B$8</f>
        <v>116.75637744297862</v>
      </c>
      <c r="G27" s="55">
        <f t="shared" ref="G27:G30" si="11">F28*$B$8</f>
        <v>112.32087004496373</v>
      </c>
      <c r="H27" s="55">
        <f t="shared" si="10"/>
        <v>108.05386501323245</v>
      </c>
      <c r="I27" s="55">
        <f t="shared" si="9"/>
        <v>103.94896104013374</v>
      </c>
      <c r="J27" s="55">
        <f t="shared" si="8"/>
        <v>99.999999999999972</v>
      </c>
      <c r="K27" s="55">
        <f t="shared" si="7"/>
        <v>96.201057710803724</v>
      </c>
      <c r="L27" s="55">
        <f t="shared" si="6"/>
        <v>92.546435046773908</v>
      </c>
      <c r="M27">
        <f t="shared" si="5"/>
        <v>89.030649388638494</v>
      </c>
      <c r="N27">
        <f t="shared" si="3"/>
        <v>85.648426398667482</v>
      </c>
      <c r="O27">
        <f t="shared" si="2"/>
        <v>82.394692108177381</v>
      </c>
      <c r="P27">
        <f t="shared" si="1"/>
        <v>79.264565305626803</v>
      </c>
      <c r="Q27">
        <f t="shared" si="0"/>
        <v>76.253350213883763</v>
      </c>
    </row>
    <row r="28" spans="1:23" x14ac:dyDescent="0.25">
      <c r="A28" s="49">
        <v>3</v>
      </c>
      <c r="B28" s="49"/>
      <c r="C28" s="55" t="str">
        <f t="shared" ca="1" si="4"/>
        <v/>
      </c>
      <c r="D28" s="55" t="str">
        <f t="shared" ca="1" si="4"/>
        <v/>
      </c>
      <c r="E28" s="55">
        <f>D29*$B$8</f>
        <v>112.32087004496373</v>
      </c>
      <c r="F28" s="55">
        <f t="shared" ref="F28:F30" si="12">E29*$B$8</f>
        <v>108.05386501323245</v>
      </c>
      <c r="G28" s="55">
        <f t="shared" si="11"/>
        <v>103.94896104013375</v>
      </c>
      <c r="H28" s="55">
        <f t="shared" si="10"/>
        <v>99.999999999999986</v>
      </c>
      <c r="I28" s="55">
        <f t="shared" si="9"/>
        <v>96.201057710803738</v>
      </c>
      <c r="J28" s="55">
        <f t="shared" si="8"/>
        <v>92.546435046773922</v>
      </c>
      <c r="K28" s="55">
        <f t="shared" si="7"/>
        <v>89.030649388638494</v>
      </c>
      <c r="L28" s="55">
        <f t="shared" si="6"/>
        <v>85.648426398667482</v>
      </c>
      <c r="M28">
        <f t="shared" si="5"/>
        <v>82.394692108177395</v>
      </c>
      <c r="N28">
        <f t="shared" si="3"/>
        <v>79.264565305626803</v>
      </c>
      <c r="O28">
        <f t="shared" si="2"/>
        <v>76.253350213883778</v>
      </c>
      <c r="P28">
        <f t="shared" si="1"/>
        <v>73.356529445679627</v>
      </c>
      <c r="Q28">
        <f t="shared" si="0"/>
        <v>70.56975722668102</v>
      </c>
    </row>
    <row r="29" spans="1:23" x14ac:dyDescent="0.25">
      <c r="A29" s="49">
        <v>2</v>
      </c>
      <c r="B29" s="49"/>
      <c r="C29" s="55" t="str">
        <f t="shared" ca="1" si="4"/>
        <v/>
      </c>
      <c r="D29" s="55">
        <f>C30*$B$8</f>
        <v>108.05386501323245</v>
      </c>
      <c r="E29" s="55">
        <f t="shared" ref="E29:E30" si="13">D30*$B$8</f>
        <v>103.94896104013375</v>
      </c>
      <c r="F29" s="55">
        <f t="shared" si="12"/>
        <v>100</v>
      </c>
      <c r="G29" s="55">
        <f t="shared" si="11"/>
        <v>96.201057710803752</v>
      </c>
      <c r="H29" s="55">
        <f t="shared" si="10"/>
        <v>92.546435046773937</v>
      </c>
      <c r="I29" s="55">
        <f t="shared" si="9"/>
        <v>89.030649388638508</v>
      </c>
      <c r="J29" s="55">
        <f t="shared" si="8"/>
        <v>85.648426398667482</v>
      </c>
      <c r="K29" s="55">
        <f t="shared" si="7"/>
        <v>82.394692108177395</v>
      </c>
      <c r="L29" s="55">
        <f t="shared" si="6"/>
        <v>79.264565305626817</v>
      </c>
      <c r="M29">
        <f t="shared" si="5"/>
        <v>76.253350213883778</v>
      </c>
      <c r="N29">
        <f t="shared" si="3"/>
        <v>73.356529445679641</v>
      </c>
      <c r="O29">
        <f t="shared" si="2"/>
        <v>70.56975722668102</v>
      </c>
      <c r="P29">
        <f t="shared" si="1"/>
        <v>67.888852876013516</v>
      </c>
      <c r="Q29">
        <f t="shared" si="0"/>
        <v>65.309794534456429</v>
      </c>
    </row>
    <row r="30" spans="1:23" x14ac:dyDescent="0.25">
      <c r="A30" s="49">
        <v>1</v>
      </c>
      <c r="B30" s="49"/>
      <c r="C30" s="55">
        <f>B31*$B$8</f>
        <v>103.94896104013375</v>
      </c>
      <c r="D30" s="55">
        <f>C31*$B$8</f>
        <v>100</v>
      </c>
      <c r="E30" s="55">
        <f t="shared" si="13"/>
        <v>96.201057710803767</v>
      </c>
      <c r="F30" s="55">
        <f t="shared" si="12"/>
        <v>92.546435046773951</v>
      </c>
      <c r="G30" s="55">
        <f t="shared" si="11"/>
        <v>89.030649388638523</v>
      </c>
      <c r="H30" s="55">
        <f t="shared" si="10"/>
        <v>85.648426398667496</v>
      </c>
      <c r="I30" s="55">
        <f t="shared" si="9"/>
        <v>82.394692108177395</v>
      </c>
      <c r="J30" s="55">
        <f t="shared" si="8"/>
        <v>79.264565305626817</v>
      </c>
      <c r="K30" s="55">
        <f t="shared" si="7"/>
        <v>76.253350213883792</v>
      </c>
      <c r="L30" s="55">
        <f t="shared" si="6"/>
        <v>73.356529445679641</v>
      </c>
      <c r="M30">
        <f t="shared" si="5"/>
        <v>70.569757226681034</v>
      </c>
      <c r="N30">
        <f t="shared" si="3"/>
        <v>67.888852876013516</v>
      </c>
      <c r="O30">
        <f t="shared" si="2"/>
        <v>65.309794534456429</v>
      </c>
      <c r="P30">
        <f t="shared" si="1"/>
        <v>62.828713130899793</v>
      </c>
      <c r="Q30">
        <f t="shared" si="0"/>
        <v>60.441886578012252</v>
      </c>
    </row>
    <row r="31" spans="1:23" x14ac:dyDescent="0.25">
      <c r="A31" s="49">
        <v>0</v>
      </c>
      <c r="B31" s="55">
        <f>$B$2</f>
        <v>100</v>
      </c>
      <c r="C31" s="55">
        <f>B31*$B$9</f>
        <v>96.201057710803767</v>
      </c>
      <c r="D31" s="55">
        <f t="shared" ref="D31:P31" si="14">C31*$B$9</f>
        <v>92.546435046773965</v>
      </c>
      <c r="E31" s="55">
        <f>D31*$B$9</f>
        <v>89.030649388638537</v>
      </c>
      <c r="F31" s="55">
        <f t="shared" si="14"/>
        <v>85.64842639866751</v>
      </c>
      <c r="G31" s="55">
        <f t="shared" si="14"/>
        <v>82.394692108177409</v>
      </c>
      <c r="H31" s="55">
        <f t="shared" si="14"/>
        <v>79.264565305626817</v>
      </c>
      <c r="I31" s="55">
        <f t="shared" si="14"/>
        <v>76.253350213883792</v>
      </c>
      <c r="J31" s="55">
        <f t="shared" si="14"/>
        <v>73.356529445679655</v>
      </c>
      <c r="K31" s="55">
        <f>J31*$B$9</f>
        <v>70.569757226681034</v>
      </c>
      <c r="L31" s="55">
        <f t="shared" si="14"/>
        <v>67.88885287601353</v>
      </c>
      <c r="M31" s="55">
        <f t="shared" si="14"/>
        <v>65.309794534456429</v>
      </c>
      <c r="N31" s="55">
        <f>M31*$B$9</f>
        <v>62.828713130899793</v>
      </c>
      <c r="O31" s="55">
        <f t="shared" si="14"/>
        <v>60.441886578012252</v>
      </c>
      <c r="P31" s="55">
        <f t="shared" si="14"/>
        <v>58.145734188412121</v>
      </c>
      <c r="Q31" s="55">
        <f>P31*$B$9</f>
        <v>55.936811302964898</v>
      </c>
    </row>
    <row r="34" spans="1:17" x14ac:dyDescent="0.25">
      <c r="A34" s="60" t="s">
        <v>42</v>
      </c>
    </row>
    <row r="35" spans="1:17" x14ac:dyDescent="0.25"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61">
        <v>11</v>
      </c>
      <c r="N35" s="61">
        <v>12</v>
      </c>
      <c r="O35" s="61">
        <v>13</v>
      </c>
      <c r="P35" s="61">
        <v>14</v>
      </c>
      <c r="Q35" s="61">
        <v>15</v>
      </c>
    </row>
    <row r="36" spans="1:17" x14ac:dyDescent="0.25">
      <c r="A36">
        <v>15</v>
      </c>
      <c r="Q36">
        <f>MAX($G$2*(Q16-$G$3),0)</f>
        <v>0</v>
      </c>
    </row>
    <row r="37" spans="1:17" x14ac:dyDescent="0.25">
      <c r="A37">
        <v>14</v>
      </c>
      <c r="P37">
        <f>MAX($G$2*(P17-$G$3),0)</f>
        <v>0</v>
      </c>
      <c r="Q37">
        <f t="shared" ref="Q37:Q51" si="15">MAX($G$2*(Q17-$G$3),0)</f>
        <v>0</v>
      </c>
    </row>
    <row r="38" spans="1:17" x14ac:dyDescent="0.25">
      <c r="A38">
        <v>13</v>
      </c>
      <c r="O38">
        <f>MAX($G$2*(O18-$G$3),0)</f>
        <v>0</v>
      </c>
      <c r="P38">
        <f t="shared" ref="P38:P51" si="16">MAX($G$2*(P18-$G$3),0)</f>
        <v>0</v>
      </c>
      <c r="Q38">
        <f t="shared" si="15"/>
        <v>0</v>
      </c>
    </row>
    <row r="39" spans="1:17" x14ac:dyDescent="0.25">
      <c r="A39">
        <v>12</v>
      </c>
      <c r="N39">
        <f>MAX($G$2*(N19-$G$3),0)</f>
        <v>0</v>
      </c>
      <c r="O39">
        <f t="shared" ref="O39:O51" si="17">MAX($G$2*(O19-$G$3),0)</f>
        <v>0</v>
      </c>
      <c r="P39">
        <f>MAX($G$2*(P19-$G$3),0)</f>
        <v>0</v>
      </c>
      <c r="Q39">
        <f t="shared" si="15"/>
        <v>0</v>
      </c>
    </row>
    <row r="40" spans="1:17" x14ac:dyDescent="0.25">
      <c r="A40">
        <v>11</v>
      </c>
      <c r="M40">
        <f>MAX($G$2*(M20-$G$3),0)</f>
        <v>0</v>
      </c>
      <c r="N40">
        <f t="shared" ref="N40:N51" si="18">MAX($G$2*(N20-$G$3),0)</f>
        <v>0</v>
      </c>
      <c r="O40">
        <f t="shared" si="17"/>
        <v>0</v>
      </c>
      <c r="P40">
        <f t="shared" si="16"/>
        <v>0</v>
      </c>
      <c r="Q40">
        <f t="shared" si="15"/>
        <v>0</v>
      </c>
    </row>
    <row r="41" spans="1:17" x14ac:dyDescent="0.25">
      <c r="A41" s="49">
        <v>10</v>
      </c>
      <c r="L41">
        <f>MAX($G$2*(L21-$G$3),0)</f>
        <v>0</v>
      </c>
      <c r="M41">
        <f t="shared" ref="M41:M51" si="19">MAX($G$2*(M21-$G$3),0)</f>
        <v>0</v>
      </c>
      <c r="N41">
        <f t="shared" si="18"/>
        <v>0</v>
      </c>
      <c r="O41">
        <f t="shared" si="17"/>
        <v>0</v>
      </c>
      <c r="P41">
        <f t="shared" si="16"/>
        <v>0</v>
      </c>
      <c r="Q41">
        <f t="shared" si="15"/>
        <v>0</v>
      </c>
    </row>
    <row r="42" spans="1:17" x14ac:dyDescent="0.25">
      <c r="A42" s="49">
        <v>9</v>
      </c>
      <c r="K42">
        <f>MAX($G$2*(K22-$G$3),0)</f>
        <v>0</v>
      </c>
      <c r="L42">
        <f t="shared" ref="L42:L51" si="20">MAX($G$2*(L22-$G$3),0)</f>
        <v>0</v>
      </c>
      <c r="M42">
        <f t="shared" si="19"/>
        <v>0</v>
      </c>
      <c r="N42">
        <f t="shared" si="18"/>
        <v>0</v>
      </c>
      <c r="O42">
        <f t="shared" si="17"/>
        <v>0</v>
      </c>
      <c r="P42">
        <f t="shared" si="16"/>
        <v>0</v>
      </c>
      <c r="Q42">
        <f t="shared" si="15"/>
        <v>0</v>
      </c>
    </row>
    <row r="43" spans="1:17" x14ac:dyDescent="0.25">
      <c r="A43" s="49">
        <v>8</v>
      </c>
      <c r="J43">
        <f>MAX($G$2*(J23-$G$3),0)</f>
        <v>0</v>
      </c>
      <c r="K43">
        <f t="shared" ref="K43:K51" si="21">MAX($G$2*(K23-$G$3),0)</f>
        <v>0</v>
      </c>
      <c r="L43">
        <f t="shared" si="20"/>
        <v>0</v>
      </c>
      <c r="M43">
        <f t="shared" si="19"/>
        <v>0</v>
      </c>
      <c r="N43">
        <f t="shared" si="18"/>
        <v>0</v>
      </c>
      <c r="O43">
        <f t="shared" si="17"/>
        <v>0</v>
      </c>
      <c r="P43">
        <f t="shared" si="16"/>
        <v>1.9461349867676034</v>
      </c>
      <c r="Q43">
        <f t="shared" si="15"/>
        <v>6.0510389598663039</v>
      </c>
    </row>
    <row r="44" spans="1:17" x14ac:dyDescent="0.25">
      <c r="A44" s="49">
        <v>7</v>
      </c>
      <c r="I44">
        <f>MAX($G$2*(I24-$G$3),0)</f>
        <v>0</v>
      </c>
      <c r="J44">
        <f t="shared" ref="J44:J51" si="22">MAX($G$2*(J24-$G$3),0)</f>
        <v>0</v>
      </c>
      <c r="K44">
        <f t="shared" si="21"/>
        <v>0</v>
      </c>
      <c r="L44">
        <f t="shared" si="20"/>
        <v>0</v>
      </c>
      <c r="M44">
        <f>MAX($G$2*(M24-$G$3),0)</f>
        <v>0</v>
      </c>
      <c r="N44">
        <f t="shared" si="18"/>
        <v>1.9461349867675892</v>
      </c>
      <c r="O44">
        <f t="shared" si="17"/>
        <v>6.0510389598663039</v>
      </c>
      <c r="P44">
        <f t="shared" si="16"/>
        <v>10.000000000000057</v>
      </c>
      <c r="Q44">
        <f t="shared" si="15"/>
        <v>13.79894228919629</v>
      </c>
    </row>
    <row r="45" spans="1:17" x14ac:dyDescent="0.25">
      <c r="A45" s="49">
        <v>6</v>
      </c>
      <c r="H45">
        <f>MAX($G$2*(H25-$G$3),0)</f>
        <v>0</v>
      </c>
      <c r="I45">
        <f t="shared" ref="I45:I51" si="23">MAX($G$2*(I25-$G$3),0)</f>
        <v>0</v>
      </c>
      <c r="J45">
        <f t="shared" si="22"/>
        <v>0</v>
      </c>
      <c r="K45">
        <f t="shared" si="21"/>
        <v>0</v>
      </c>
      <c r="L45">
        <f t="shared" si="20"/>
        <v>1.946134986767575</v>
      </c>
      <c r="M45">
        <f t="shared" si="19"/>
        <v>6.0510389598662897</v>
      </c>
      <c r="N45">
        <f t="shared" si="18"/>
        <v>10.000000000000057</v>
      </c>
      <c r="O45">
        <f t="shared" si="17"/>
        <v>13.79894228919629</v>
      </c>
      <c r="P45">
        <f t="shared" si="16"/>
        <v>17.453564953226092</v>
      </c>
      <c r="Q45">
        <f t="shared" si="15"/>
        <v>20.96935061136152</v>
      </c>
    </row>
    <row r="46" spans="1:17" x14ac:dyDescent="0.25">
      <c r="A46" s="49">
        <v>5</v>
      </c>
      <c r="G46">
        <f>MAX($G$2*(G26-$G$3),0)</f>
        <v>0</v>
      </c>
      <c r="H46">
        <f t="shared" ref="H46:H51" si="24">MAX($G$2*(H26-$G$3),0)</f>
        <v>0</v>
      </c>
      <c r="I46">
        <f t="shared" si="23"/>
        <v>0</v>
      </c>
      <c r="J46">
        <f t="shared" si="22"/>
        <v>1.9461349867675608</v>
      </c>
      <c r="K46">
        <f t="shared" si="21"/>
        <v>6.0510389598662755</v>
      </c>
      <c r="L46">
        <f t="shared" si="20"/>
        <v>10.000000000000043</v>
      </c>
      <c r="M46">
        <f t="shared" si="19"/>
        <v>13.79894228919629</v>
      </c>
      <c r="N46">
        <f t="shared" si="18"/>
        <v>17.453564953226092</v>
      </c>
      <c r="O46">
        <f t="shared" si="17"/>
        <v>20.969350611361506</v>
      </c>
      <c r="P46">
        <f t="shared" si="16"/>
        <v>24.351573601332532</v>
      </c>
      <c r="Q46">
        <f t="shared" si="15"/>
        <v>27.605307891822619</v>
      </c>
    </row>
    <row r="47" spans="1:17" x14ac:dyDescent="0.25">
      <c r="A47" s="49">
        <v>4</v>
      </c>
      <c r="F47">
        <f>MAX($G$2*(F27-$G$3),0)</f>
        <v>0</v>
      </c>
      <c r="G47">
        <f t="shared" ref="G47:G51" si="25">MAX($G$2*(G27-$G$3),0)</f>
        <v>0</v>
      </c>
      <c r="H47">
        <f t="shared" si="24"/>
        <v>1.9461349867675466</v>
      </c>
      <c r="I47">
        <f t="shared" si="23"/>
        <v>6.0510389598662613</v>
      </c>
      <c r="J47">
        <f t="shared" si="22"/>
        <v>10.000000000000028</v>
      </c>
      <c r="K47">
        <f t="shared" si="21"/>
        <v>13.798942289196276</v>
      </c>
      <c r="L47">
        <f t="shared" si="20"/>
        <v>17.453564953226092</v>
      </c>
      <c r="M47">
        <f t="shared" si="19"/>
        <v>20.969350611361506</v>
      </c>
      <c r="N47">
        <f t="shared" si="18"/>
        <v>24.351573601332518</v>
      </c>
      <c r="O47">
        <f t="shared" si="17"/>
        <v>27.605307891822619</v>
      </c>
      <c r="P47">
        <f t="shared" si="16"/>
        <v>30.735434694373197</v>
      </c>
      <c r="Q47">
        <f t="shared" si="15"/>
        <v>33.746649786116237</v>
      </c>
    </row>
    <row r="48" spans="1:17" x14ac:dyDescent="0.25">
      <c r="A48" s="49">
        <v>3</v>
      </c>
      <c r="E48">
        <f>MAX($G$2*(E28-$G$3),0)</f>
        <v>0</v>
      </c>
      <c r="F48">
        <f t="shared" ref="F48:F51" si="26">MAX($G$2*(F28-$G$3),0)</f>
        <v>1.9461349867675466</v>
      </c>
      <c r="G48">
        <f t="shared" si="25"/>
        <v>6.0510389598662471</v>
      </c>
      <c r="H48">
        <f t="shared" si="24"/>
        <v>10.000000000000014</v>
      </c>
      <c r="I48">
        <f t="shared" si="23"/>
        <v>13.798942289196262</v>
      </c>
      <c r="J48">
        <f t="shared" si="22"/>
        <v>17.453564953226078</v>
      </c>
      <c r="K48">
        <f t="shared" si="21"/>
        <v>20.969350611361506</v>
      </c>
      <c r="L48">
        <f t="shared" si="20"/>
        <v>24.351573601332518</v>
      </c>
      <c r="M48">
        <f t="shared" si="19"/>
        <v>27.605307891822605</v>
      </c>
      <c r="N48">
        <f t="shared" si="18"/>
        <v>30.735434694373197</v>
      </c>
      <c r="O48">
        <f t="shared" si="17"/>
        <v>33.746649786116222</v>
      </c>
      <c r="P48">
        <f t="shared" si="16"/>
        <v>36.643470554320373</v>
      </c>
      <c r="Q48">
        <f t="shared" si="15"/>
        <v>39.43024277331898</v>
      </c>
    </row>
    <row r="49" spans="1:21" x14ac:dyDescent="0.25">
      <c r="A49" s="49">
        <v>2</v>
      </c>
      <c r="D49">
        <f>MAX($G$2*(D29-$G$3),0)</f>
        <v>1.9461349867675466</v>
      </c>
      <c r="E49">
        <f t="shared" ref="E49:E51" si="27">MAX($G$2*(E29-$G$3),0)</f>
        <v>6.0510389598662471</v>
      </c>
      <c r="F49">
        <f t="shared" si="26"/>
        <v>10</v>
      </c>
      <c r="G49">
        <f t="shared" si="25"/>
        <v>13.798942289196248</v>
      </c>
      <c r="H49">
        <f t="shared" si="24"/>
        <v>17.453564953226063</v>
      </c>
      <c r="I49">
        <f t="shared" si="23"/>
        <v>20.969350611361492</v>
      </c>
      <c r="J49">
        <f t="shared" si="22"/>
        <v>24.351573601332518</v>
      </c>
      <c r="K49">
        <f t="shared" si="21"/>
        <v>27.605307891822605</v>
      </c>
      <c r="L49">
        <f t="shared" si="20"/>
        <v>30.735434694373183</v>
      </c>
      <c r="M49">
        <f t="shared" si="19"/>
        <v>33.746649786116222</v>
      </c>
      <c r="N49">
        <f t="shared" si="18"/>
        <v>36.643470554320359</v>
      </c>
      <c r="O49">
        <f t="shared" si="17"/>
        <v>39.43024277331898</v>
      </c>
      <c r="P49">
        <f t="shared" si="16"/>
        <v>42.111147123986484</v>
      </c>
      <c r="Q49">
        <f t="shared" si="15"/>
        <v>44.690205465543571</v>
      </c>
    </row>
    <row r="50" spans="1:21" x14ac:dyDescent="0.25">
      <c r="A50" s="49">
        <v>1</v>
      </c>
      <c r="C50">
        <f>MAX($G$2*(C30-$G$3),0)</f>
        <v>6.0510389598662471</v>
      </c>
      <c r="D50">
        <f t="shared" ref="D50:D51" si="28">MAX($G$2*(D30-$G$3),0)</f>
        <v>10</v>
      </c>
      <c r="E50">
        <f t="shared" si="27"/>
        <v>13.798942289196233</v>
      </c>
      <c r="F50">
        <f t="shared" si="26"/>
        <v>17.453564953226049</v>
      </c>
      <c r="G50">
        <f t="shared" si="25"/>
        <v>20.969350611361477</v>
      </c>
      <c r="H50">
        <f t="shared" si="24"/>
        <v>24.351573601332504</v>
      </c>
      <c r="I50">
        <f t="shared" si="23"/>
        <v>27.605307891822605</v>
      </c>
      <c r="J50">
        <f t="shared" si="22"/>
        <v>30.735434694373183</v>
      </c>
      <c r="K50">
        <f t="shared" si="21"/>
        <v>33.746649786116208</v>
      </c>
      <c r="L50">
        <f t="shared" si="20"/>
        <v>36.643470554320359</v>
      </c>
      <c r="M50">
        <f t="shared" si="19"/>
        <v>39.430242773318966</v>
      </c>
      <c r="N50">
        <f t="shared" si="18"/>
        <v>42.111147123986484</v>
      </c>
      <c r="O50">
        <f t="shared" si="17"/>
        <v>44.690205465543571</v>
      </c>
      <c r="P50">
        <f t="shared" si="16"/>
        <v>47.171286869100207</v>
      </c>
      <c r="Q50">
        <f t="shared" si="15"/>
        <v>49.558113421987748</v>
      </c>
    </row>
    <row r="51" spans="1:21" x14ac:dyDescent="0.25">
      <c r="A51" s="49">
        <v>0</v>
      </c>
      <c r="B51">
        <f>MAX($G$2*(B31-$G$3),0)</f>
        <v>10</v>
      </c>
      <c r="C51">
        <f>MAX($G$2*(C31-$G$3),0)</f>
        <v>13.798942289196233</v>
      </c>
      <c r="D51">
        <f t="shared" si="28"/>
        <v>17.453564953226035</v>
      </c>
      <c r="E51">
        <f t="shared" si="27"/>
        <v>20.969350611361463</v>
      </c>
      <c r="F51">
        <f t="shared" si="26"/>
        <v>24.35157360133249</v>
      </c>
      <c r="G51">
        <f t="shared" si="25"/>
        <v>27.605307891822591</v>
      </c>
      <c r="H51">
        <f t="shared" si="24"/>
        <v>30.735434694373183</v>
      </c>
      <c r="I51">
        <f t="shared" si="23"/>
        <v>33.746649786116208</v>
      </c>
      <c r="J51">
        <f t="shared" si="22"/>
        <v>36.643470554320345</v>
      </c>
      <c r="K51">
        <f t="shared" si="21"/>
        <v>39.430242773318966</v>
      </c>
      <c r="L51">
        <f t="shared" si="20"/>
        <v>42.11114712398647</v>
      </c>
      <c r="M51">
        <f t="shared" si="19"/>
        <v>44.690205465543571</v>
      </c>
      <c r="N51">
        <f t="shared" si="18"/>
        <v>47.171286869100207</v>
      </c>
      <c r="O51">
        <f t="shared" si="17"/>
        <v>49.558113421987748</v>
      </c>
      <c r="P51">
        <f t="shared" si="16"/>
        <v>51.854265811587879</v>
      </c>
      <c r="Q51">
        <f t="shared" si="15"/>
        <v>54.063188697035102</v>
      </c>
    </row>
    <row r="56" spans="1:21" x14ac:dyDescent="0.25">
      <c r="A56" s="60" t="s">
        <v>38</v>
      </c>
      <c r="S56" s="60" t="s">
        <v>44</v>
      </c>
      <c r="T56" s="60" t="s">
        <v>43</v>
      </c>
      <c r="U56" t="s">
        <v>45</v>
      </c>
    </row>
    <row r="57" spans="1:21" x14ac:dyDescent="0.25">
      <c r="B57" s="54">
        <v>0</v>
      </c>
      <c r="C57" s="54">
        <v>1</v>
      </c>
      <c r="D57" s="54">
        <v>2</v>
      </c>
      <c r="E57" s="54">
        <v>3</v>
      </c>
      <c r="F57" s="54">
        <v>4</v>
      </c>
      <c r="G57" s="54">
        <v>5</v>
      </c>
      <c r="H57" s="54">
        <v>6</v>
      </c>
      <c r="I57" s="54">
        <v>7</v>
      </c>
      <c r="J57" s="54">
        <v>8</v>
      </c>
      <c r="K57" s="54">
        <v>9</v>
      </c>
      <c r="L57" s="49">
        <v>10</v>
      </c>
      <c r="M57" s="61">
        <v>11</v>
      </c>
      <c r="N57" s="61">
        <v>12</v>
      </c>
      <c r="O57" s="61">
        <v>13</v>
      </c>
      <c r="P57" s="61">
        <v>14</v>
      </c>
      <c r="Q57" s="61">
        <v>15</v>
      </c>
    </row>
    <row r="58" spans="1:21" x14ac:dyDescent="0.25">
      <c r="A58">
        <v>15</v>
      </c>
      <c r="Q58">
        <f>MAX($G$2*(Q16-$G$3),0)</f>
        <v>0</v>
      </c>
      <c r="S58">
        <f t="shared" ref="S58:S73" si="29">(FACT($B$5) / (FACT($B$5 - A58) * FACT(A58))) * ($B$10^A58)*($B$11^($B$5 - A58))</f>
        <v>2.4305097231388897E-5</v>
      </c>
      <c r="T58">
        <f t="shared" ref="T58:T73" si="30">S58*Q58</f>
        <v>0</v>
      </c>
      <c r="U58">
        <f>($B$13^$B$5)*SUM(T58:T73)</f>
        <v>12.305137604415606</v>
      </c>
    </row>
    <row r="59" spans="1:21" x14ac:dyDescent="0.25">
      <c r="A59">
        <v>14</v>
      </c>
      <c r="P59">
        <f>$B$12 *($B$10*Q58 + $B$11*Q59)</f>
        <v>0</v>
      </c>
      <c r="Q59">
        <f t="shared" ref="Q59:Q73" si="31">MAX($G$2*(Q17-$G$3),0)</f>
        <v>0</v>
      </c>
      <c r="S59">
        <f t="shared" si="29"/>
        <v>3.7572532842667885E-4</v>
      </c>
      <c r="T59">
        <f t="shared" si="30"/>
        <v>0</v>
      </c>
    </row>
    <row r="60" spans="1:21" x14ac:dyDescent="0.25">
      <c r="A60">
        <v>13</v>
      </c>
      <c r="O60">
        <f>$B$12 *($B$10*P59 + $B$11*P60)</f>
        <v>0</v>
      </c>
      <c r="P60">
        <f t="shared" ref="P60:P73" si="32">$B$12 *($B$10*Q59 + $B$11*Q60)</f>
        <v>0</v>
      </c>
      <c r="Q60">
        <f t="shared" si="31"/>
        <v>0</v>
      </c>
      <c r="S60">
        <f t="shared" si="29"/>
        <v>2.7105059418651564E-3</v>
      </c>
      <c r="T60">
        <f t="shared" si="30"/>
        <v>0</v>
      </c>
    </row>
    <row r="61" spans="1:21" x14ac:dyDescent="0.25">
      <c r="A61">
        <v>12</v>
      </c>
      <c r="N61">
        <f>$B$12 *($B$10*O60 + $B$11*O61)</f>
        <v>0</v>
      </c>
      <c r="O61">
        <f t="shared" ref="O61:O73" si="33">$B$12 *($B$10*P60 + $B$11*P61)</f>
        <v>0</v>
      </c>
      <c r="P61">
        <f t="shared" si="32"/>
        <v>0</v>
      </c>
      <c r="Q61">
        <f t="shared" si="31"/>
        <v>0</v>
      </c>
      <c r="S61">
        <f t="shared" si="29"/>
        <v>1.2104707851275877E-2</v>
      </c>
      <c r="T61">
        <f t="shared" si="30"/>
        <v>0</v>
      </c>
    </row>
    <row r="62" spans="1:21" x14ac:dyDescent="0.25">
      <c r="A62">
        <v>11</v>
      </c>
      <c r="M62">
        <f>$B$12 *($B$10*N61 + $B$11*N62)</f>
        <v>0</v>
      </c>
      <c r="N62">
        <f t="shared" ref="N62:N73" si="34">$B$12 *($B$10*O61 + $B$11*O62)</f>
        <v>0</v>
      </c>
      <c r="O62">
        <f t="shared" si="33"/>
        <v>0</v>
      </c>
      <c r="P62">
        <f t="shared" si="32"/>
        <v>0</v>
      </c>
      <c r="Q62">
        <f t="shared" si="31"/>
        <v>0</v>
      </c>
      <c r="S62">
        <f t="shared" si="29"/>
        <v>3.7424621589713609E-2</v>
      </c>
      <c r="T62">
        <f t="shared" si="30"/>
        <v>0</v>
      </c>
    </row>
    <row r="63" spans="1:21" x14ac:dyDescent="0.25">
      <c r="A63" s="49">
        <v>10</v>
      </c>
      <c r="L63">
        <f>$B$12 *($B$10*M62 + $B$11*M63)</f>
        <v>0</v>
      </c>
      <c r="M63">
        <f t="shared" ref="M63:M73" si="35">$B$12 *($B$10*N62 + $B$11*N63)</f>
        <v>0</v>
      </c>
      <c r="N63">
        <f t="shared" si="34"/>
        <v>0</v>
      </c>
      <c r="O63">
        <f t="shared" si="33"/>
        <v>0</v>
      </c>
      <c r="P63">
        <f t="shared" si="32"/>
        <v>0</v>
      </c>
      <c r="Q63">
        <f t="shared" si="31"/>
        <v>0</v>
      </c>
      <c r="S63">
        <f t="shared" si="29"/>
        <v>8.485197385876013E-2</v>
      </c>
      <c r="T63">
        <f t="shared" si="30"/>
        <v>0</v>
      </c>
    </row>
    <row r="64" spans="1:21" x14ac:dyDescent="0.25">
      <c r="A64" s="49">
        <v>9</v>
      </c>
      <c r="K64">
        <f>$B$12 *($B$10*L63+ $B$11*L64)</f>
        <v>0</v>
      </c>
      <c r="L64">
        <f t="shared" ref="L64:L73" si="36">$B$12 *($B$10*M63 + $B$11*M64)</f>
        <v>0</v>
      </c>
      <c r="M64">
        <f t="shared" si="35"/>
        <v>0</v>
      </c>
      <c r="N64">
        <f t="shared" si="34"/>
        <v>0</v>
      </c>
      <c r="O64">
        <f t="shared" si="33"/>
        <v>0</v>
      </c>
      <c r="P64">
        <f t="shared" si="32"/>
        <v>0</v>
      </c>
      <c r="Q64">
        <f t="shared" si="31"/>
        <v>0</v>
      </c>
      <c r="S64">
        <f t="shared" si="29"/>
        <v>0.14574462596705273</v>
      </c>
      <c r="T64">
        <f t="shared" si="30"/>
        <v>0</v>
      </c>
    </row>
    <row r="65" spans="1:20" x14ac:dyDescent="0.25">
      <c r="A65" s="49">
        <v>8</v>
      </c>
      <c r="J65">
        <f>$B$12 *($B$10*K64 + $B$11*K65)</f>
        <v>5.261081488037353E-2</v>
      </c>
      <c r="K65">
        <f t="shared" ref="K65:K73" si="37">$B$12 *($B$10*L64+ $B$11*L65)</f>
        <v>0.10362596518549082</v>
      </c>
      <c r="L65">
        <f t="shared" si="36"/>
        <v>0.20410899707676824</v>
      </c>
      <c r="M65">
        <f t="shared" si="35"/>
        <v>0.40202745145110863</v>
      </c>
      <c r="N65">
        <f t="shared" si="34"/>
        <v>0.79186157413474367</v>
      </c>
      <c r="O65">
        <f t="shared" si="33"/>
        <v>1.5597063094270078</v>
      </c>
      <c r="P65">
        <f t="shared" si="32"/>
        <v>3.0721073621037585</v>
      </c>
      <c r="Q65">
        <f t="shared" si="31"/>
        <v>6.0510389598663039</v>
      </c>
      <c r="S65">
        <f t="shared" si="29"/>
        <v>0.19311627258349423</v>
      </c>
      <c r="T65">
        <f t="shared" si="30"/>
        <v>1.1685540891868846</v>
      </c>
    </row>
    <row r="66" spans="1:20" x14ac:dyDescent="0.25">
      <c r="A66" s="49">
        <v>7</v>
      </c>
      <c r="I66">
        <f>$B$12 *($B$10*J65 + $B$11*J66)</f>
        <v>0.26825433092602474</v>
      </c>
      <c r="J66">
        <f t="shared" ref="J66:J73" si="38">$B$12 *($B$10*K65 + $B$11*K66)</f>
        <v>0.47732291926345932</v>
      </c>
      <c r="K66">
        <f t="shared" si="37"/>
        <v>0.83961774934097244</v>
      </c>
      <c r="L66">
        <f t="shared" si="36"/>
        <v>1.455717748644989</v>
      </c>
      <c r="M66">
        <f t="shared" si="35"/>
        <v>2.4771860506717331</v>
      </c>
      <c r="N66">
        <f t="shared" si="34"/>
        <v>4.1108753338790676</v>
      </c>
      <c r="O66">
        <f t="shared" si="33"/>
        <v>6.5836442349980828</v>
      </c>
      <c r="P66">
        <f t="shared" si="32"/>
        <v>9.9866602763733106</v>
      </c>
      <c r="Q66">
        <f t="shared" si="31"/>
        <v>13.79894228919629</v>
      </c>
      <c r="S66">
        <f t="shared" si="29"/>
        <v>0.19902183274615956</v>
      </c>
      <c r="T66">
        <f t="shared" si="30"/>
        <v>2.7462907843543323</v>
      </c>
    </row>
    <row r="67" spans="1:20" x14ac:dyDescent="0.25">
      <c r="A67" s="49">
        <v>6</v>
      </c>
      <c r="H67">
        <f>$B$12 *($B$10*I66 + $B$11*I67)</f>
        <v>0.77670604985799641</v>
      </c>
      <c r="I67">
        <f t="shared" ref="I67:I73" si="39">$B$12 *($B$10*J66 + $B$11*J67)</f>
        <v>1.2695604817969646</v>
      </c>
      <c r="J67">
        <f t="shared" si="38"/>
        <v>2.0374563600660389</v>
      </c>
      <c r="K67">
        <f t="shared" si="37"/>
        <v>3.1984136652422541</v>
      </c>
      <c r="L67">
        <f t="shared" si="36"/>
        <v>4.8872984041744125</v>
      </c>
      <c r="M67">
        <f t="shared" si="35"/>
        <v>7.2226863477175485</v>
      </c>
      <c r="N67">
        <f t="shared" si="34"/>
        <v>10.237417928585916</v>
      </c>
      <c r="O67">
        <f t="shared" si="33"/>
        <v>13.776050898129895</v>
      </c>
      <c r="P67">
        <f>$B$12 *($B$10*Q66 + $B$11*Q67)</f>
        <v>17.443952943926881</v>
      </c>
      <c r="Q67">
        <f t="shared" si="31"/>
        <v>20.96935061136152</v>
      </c>
      <c r="S67">
        <f t="shared" si="29"/>
        <v>0.1595284342652544</v>
      </c>
      <c r="T67">
        <f t="shared" si="30"/>
        <v>3.3452076705896583</v>
      </c>
    </row>
    <row r="68" spans="1:20" x14ac:dyDescent="0.25">
      <c r="A68" s="49">
        <v>5</v>
      </c>
      <c r="G68">
        <f>$B$12 *($B$10*H67 + $B$11*H68)</f>
        <v>1.6829251751529362</v>
      </c>
      <c r="H68">
        <f t="shared" ref="H68:H73" si="40">$B$12 *($B$10*I67 + $B$11*I68)</f>
        <v>2.5611490070399601</v>
      </c>
      <c r="I68">
        <f t="shared" si="39"/>
        <v>3.8127305011540482</v>
      </c>
      <c r="J68">
        <f t="shared" si="38"/>
        <v>5.5328233721973996</v>
      </c>
      <c r="K68">
        <f t="shared" si="37"/>
        <v>7.7943310937858721</v>
      </c>
      <c r="L68">
        <f t="shared" si="36"/>
        <v>10.609985342730505</v>
      </c>
      <c r="M68">
        <f t="shared" si="35"/>
        <v>13.889806045331207</v>
      </c>
      <c r="N68">
        <f t="shared" si="34"/>
        <v>17.424696152177521</v>
      </c>
      <c r="O68">
        <f t="shared" si="33"/>
        <v>20.953633215016811</v>
      </c>
      <c r="P68">
        <f t="shared" si="32"/>
        <v>24.345411458752181</v>
      </c>
      <c r="Q68">
        <f t="shared" si="31"/>
        <v>27.605307891822619</v>
      </c>
      <c r="S68">
        <f t="shared" si="29"/>
        <v>9.8644120263461949E-2</v>
      </c>
      <c r="T68">
        <f t="shared" si="30"/>
        <v>2.7231013115908458</v>
      </c>
    </row>
    <row r="69" spans="1:20" x14ac:dyDescent="0.25">
      <c r="A69" s="49">
        <v>4</v>
      </c>
      <c r="F69">
        <f>$B$12 *($B$10*G68 + $B$11*G69)</f>
        <v>3.0411132039665145</v>
      </c>
      <c r="G69">
        <f t="shared" ref="G69:G73" si="41">$B$12 *($B$10*H68 + $B$11*H69)</f>
        <v>4.3570028232093883</v>
      </c>
      <c r="H69">
        <f t="shared" si="40"/>
        <v>6.0967073048937852</v>
      </c>
      <c r="I69">
        <f t="shared" si="39"/>
        <v>8.3089083315415557</v>
      </c>
      <c r="J69">
        <f t="shared" si="38"/>
        <v>10.997162547059718</v>
      </c>
      <c r="K69">
        <f t="shared" si="37"/>
        <v>14.097735153481199</v>
      </c>
      <c r="L69">
        <f t="shared" si="36"/>
        <v>17.472735714616707</v>
      </c>
      <c r="M69">
        <f t="shared" si="35"/>
        <v>20.937875620434269</v>
      </c>
      <c r="N69">
        <f t="shared" si="34"/>
        <v>24.333059577397439</v>
      </c>
      <c r="O69">
        <f t="shared" si="33"/>
        <v>27.596229771843291</v>
      </c>
      <c r="P69">
        <f t="shared" si="32"/>
        <v>30.732465280455028</v>
      </c>
      <c r="Q69">
        <f t="shared" si="31"/>
        <v>33.746649786116237</v>
      </c>
      <c r="S69">
        <f t="shared" si="29"/>
        <v>4.6209404741758005E-2</v>
      </c>
      <c r="T69">
        <f t="shared" si="30"/>
        <v>1.5594125986450065</v>
      </c>
    </row>
    <row r="70" spans="1:20" x14ac:dyDescent="0.25">
      <c r="A70" s="49">
        <v>3</v>
      </c>
      <c r="E70">
        <f>$B$12 *($B$10*F69 + $B$11*F70)</f>
        <v>4.8507788394444198</v>
      </c>
      <c r="F70">
        <f t="shared" ref="F70:F73" si="42">$B$12 *($B$10*G69 + $B$11*G70)</f>
        <v>6.6035610573013752</v>
      </c>
      <c r="G70">
        <f t="shared" si="41"/>
        <v>8.7791209990102246</v>
      </c>
      <c r="H70">
        <f t="shared" si="40"/>
        <v>11.37617467705959</v>
      </c>
      <c r="I70">
        <f t="shared" si="39"/>
        <v>14.344955904697406</v>
      </c>
      <c r="J70">
        <f t="shared" si="38"/>
        <v>17.583990588708197</v>
      </c>
      <c r="K70">
        <f t="shared" si="37"/>
        <v>20.955251810563574</v>
      </c>
      <c r="L70">
        <f t="shared" si="36"/>
        <v>24.320670856844146</v>
      </c>
      <c r="M70">
        <f t="shared" si="35"/>
        <v>27.587118096223236</v>
      </c>
      <c r="N70">
        <f t="shared" si="34"/>
        <v>30.72650364751367</v>
      </c>
      <c r="O70">
        <f t="shared" si="33"/>
        <v>33.743716079725949</v>
      </c>
      <c r="P70">
        <f t="shared" si="32"/>
        <v>36.643455896959743</v>
      </c>
      <c r="Q70">
        <f t="shared" si="31"/>
        <v>39.43024277331898</v>
      </c>
      <c r="S70">
        <f t="shared" si="29"/>
        <v>1.5874167927921162E-2</v>
      </c>
      <c r="T70">
        <f t="shared" si="30"/>
        <v>0.62592229522236531</v>
      </c>
    </row>
    <row r="71" spans="1:20" x14ac:dyDescent="0.25">
      <c r="A71" s="49">
        <v>2</v>
      </c>
      <c r="D71">
        <f>$B$12 *($B$10*E70 + $B$11*E71)</f>
        <v>7.0677306854440118</v>
      </c>
      <c r="E71">
        <f t="shared" ref="E71:E73" si="43">$B$12 *($B$10*F70 + $B$11*F71)</f>
        <v>9.214257942705677</v>
      </c>
      <c r="F71">
        <f t="shared" si="42"/>
        <v>11.741437119876736</v>
      </c>
      <c r="G71">
        <f t="shared" si="41"/>
        <v>14.608142447622459</v>
      </c>
      <c r="H71">
        <f t="shared" si="40"/>
        <v>17.734615602942313</v>
      </c>
      <c r="I71">
        <f t="shared" si="39"/>
        <v>21.01204845563203</v>
      </c>
      <c r="J71">
        <f t="shared" si="38"/>
        <v>24.324587911462967</v>
      </c>
      <c r="K71">
        <f t="shared" si="37"/>
        <v>27.577972815069266</v>
      </c>
      <c r="L71">
        <f t="shared" si="36"/>
        <v>30.720511568818374</v>
      </c>
      <c r="M71">
        <f t="shared" si="35"/>
        <v>33.740754965181765</v>
      </c>
      <c r="N71">
        <f t="shared" si="34"/>
        <v>36.643408211115613</v>
      </c>
      <c r="O71">
        <f t="shared" si="33"/>
        <v>39.4329955026599</v>
      </c>
      <c r="P71">
        <f t="shared" si="32"/>
        <v>42.113866988484183</v>
      </c>
      <c r="Q71">
        <f t="shared" si="31"/>
        <v>44.690205465543571</v>
      </c>
      <c r="S71">
        <f t="shared" si="29"/>
        <v>3.775293528214371E-3</v>
      </c>
      <c r="T71">
        <f t="shared" si="30"/>
        <v>0.16871864346863716</v>
      </c>
    </row>
    <row r="72" spans="1:20" x14ac:dyDescent="0.25">
      <c r="A72" s="49">
        <v>1</v>
      </c>
      <c r="C72">
        <f>$B$12 *($B$10*D71 + $B$11*D72)</f>
        <v>9.6209587272663164</v>
      </c>
      <c r="D72">
        <f t="shared" ref="D72:D73" si="44">$B$12 *($B$10*E71 + $B$11*E72)</f>
        <v>12.092107262936596</v>
      </c>
      <c r="E72">
        <f t="shared" si="43"/>
        <v>14.876621893946869</v>
      </c>
      <c r="F72">
        <f t="shared" si="42"/>
        <v>17.909007586101179</v>
      </c>
      <c r="G72">
        <f t="shared" si="41"/>
        <v>21.100166156118906</v>
      </c>
      <c r="H72">
        <f t="shared" si="40"/>
        <v>24.351995209193582</v>
      </c>
      <c r="I72">
        <f t="shared" si="39"/>
        <v>27.576844835950578</v>
      </c>
      <c r="J72">
        <f t="shared" si="38"/>
        <v>30.714488997581945</v>
      </c>
      <c r="K72">
        <f t="shared" si="37"/>
        <v>33.737766398741051</v>
      </c>
      <c r="L72">
        <f t="shared" si="36"/>
        <v>36.643335996422593</v>
      </c>
      <c r="M72">
        <f t="shared" si="35"/>
        <v>39.435726513126809</v>
      </c>
      <c r="N72">
        <f t="shared" si="34"/>
        <v>42.119292449849091</v>
      </c>
      <c r="O72">
        <f t="shared" si="33"/>
        <v>44.698220788434945</v>
      </c>
      <c r="P72">
        <f t="shared" si="32"/>
        <v>47.176537436093369</v>
      </c>
      <c r="Q72">
        <f t="shared" si="31"/>
        <v>49.558113421987748</v>
      </c>
      <c r="S72">
        <f t="shared" si="29"/>
        <v>5.5582046659413025E-4</v>
      </c>
      <c r="T72">
        <f t="shared" si="30"/>
        <v>2.7545413725734061E-2</v>
      </c>
    </row>
    <row r="73" spans="1:20" x14ac:dyDescent="0.25">
      <c r="A73" s="49">
        <v>0</v>
      </c>
      <c r="B73">
        <f>$B$12 *($B$10*C72 + $B$11*C73)</f>
        <v>12.428806293333686</v>
      </c>
      <c r="C73">
        <f>$B$12 *($B$10*D72 + $B$11*D73)</f>
        <v>15.145175228181609</v>
      </c>
      <c r="D73">
        <f t="shared" si="44"/>
        <v>18.097704407613453</v>
      </c>
      <c r="E73">
        <f t="shared" si="43"/>
        <v>21.211323825927668</v>
      </c>
      <c r="F73">
        <f t="shared" si="42"/>
        <v>24.401721919278764</v>
      </c>
      <c r="G73">
        <f t="shared" si="41"/>
        <v>27.589287074808645</v>
      </c>
      <c r="H73">
        <f t="shared" si="40"/>
        <v>30.712402064257304</v>
      </c>
      <c r="I73">
        <f t="shared" si="39"/>
        <v>33.734750336606538</v>
      </c>
      <c r="J73">
        <f t="shared" si="38"/>
        <v>36.643239212013363</v>
      </c>
      <c r="K73">
        <f t="shared" si="37"/>
        <v>39.438435766669215</v>
      </c>
      <c r="L73">
        <f t="shared" si="36"/>
        <v>42.124698858249793</v>
      </c>
      <c r="M73">
        <f t="shared" si="35"/>
        <v>44.706219657678034</v>
      </c>
      <c r="N73">
        <f t="shared" si="34"/>
        <v>47.187028100085094</v>
      </c>
      <c r="O73">
        <f t="shared" si="33"/>
        <v>49.570999087601059</v>
      </c>
      <c r="P73">
        <f t="shared" si="32"/>
        <v>51.861858453522224</v>
      </c>
      <c r="Q73">
        <f t="shared" si="31"/>
        <v>54.063188697035102</v>
      </c>
      <c r="S73">
        <f t="shared" si="29"/>
        <v>3.8187842815977577E-5</v>
      </c>
      <c r="T73">
        <f t="shared" si="30"/>
        <v>2.0645565520929121E-3</v>
      </c>
    </row>
    <row r="76" spans="1:20" x14ac:dyDescent="0.25">
      <c r="A76" s="60" t="s">
        <v>36</v>
      </c>
    </row>
    <row r="77" spans="1:20" x14ac:dyDescent="0.25">
      <c r="A77" s="60"/>
    </row>
    <row r="78" spans="1:20" x14ac:dyDescent="0.25">
      <c r="B78" s="54">
        <v>0</v>
      </c>
      <c r="C78" s="54">
        <v>1</v>
      </c>
      <c r="D78" s="54">
        <v>2</v>
      </c>
      <c r="E78" s="54">
        <v>3</v>
      </c>
      <c r="F78" s="54">
        <v>4</v>
      </c>
      <c r="G78" s="54">
        <v>5</v>
      </c>
      <c r="H78" s="54">
        <v>6</v>
      </c>
      <c r="I78" s="54">
        <v>7</v>
      </c>
      <c r="J78" s="54">
        <v>8</v>
      </c>
      <c r="K78" s="54">
        <v>9</v>
      </c>
      <c r="L78" s="49">
        <v>10</v>
      </c>
      <c r="M78" s="61">
        <v>11</v>
      </c>
      <c r="N78" s="61">
        <v>12</v>
      </c>
      <c r="O78" s="61">
        <v>13</v>
      </c>
      <c r="P78" s="61">
        <v>14</v>
      </c>
      <c r="Q78" s="61">
        <v>15</v>
      </c>
    </row>
    <row r="79" spans="1:20" x14ac:dyDescent="0.25">
      <c r="A79">
        <v>15</v>
      </c>
      <c r="Q79">
        <f>Q36-Q58</f>
        <v>0</v>
      </c>
    </row>
    <row r="80" spans="1:20" x14ac:dyDescent="0.25">
      <c r="A80">
        <v>14</v>
      </c>
      <c r="P80">
        <f>P37-P59</f>
        <v>0</v>
      </c>
      <c r="Q80">
        <f t="shared" ref="Q80:Q94" si="45">Q37-Q59</f>
        <v>0</v>
      </c>
    </row>
    <row r="81" spans="1:17" x14ac:dyDescent="0.25">
      <c r="A81">
        <v>13</v>
      </c>
      <c r="O81">
        <f>O38-O60</f>
        <v>0</v>
      </c>
      <c r="P81">
        <f t="shared" ref="P81:P94" si="46">P38-P60</f>
        <v>0</v>
      </c>
      <c r="Q81">
        <f t="shared" si="45"/>
        <v>0</v>
      </c>
    </row>
    <row r="82" spans="1:17" x14ac:dyDescent="0.25">
      <c r="A82">
        <v>12</v>
      </c>
      <c r="N82">
        <f>N39-N61</f>
        <v>0</v>
      </c>
      <c r="O82">
        <f t="shared" ref="O82:O94" si="47">O39-O61</f>
        <v>0</v>
      </c>
      <c r="P82">
        <f t="shared" si="46"/>
        <v>0</v>
      </c>
      <c r="Q82">
        <f t="shared" si="45"/>
        <v>0</v>
      </c>
    </row>
    <row r="83" spans="1:17" x14ac:dyDescent="0.25">
      <c r="A83">
        <v>11</v>
      </c>
      <c r="M83">
        <f>M40-M62</f>
        <v>0</v>
      </c>
      <c r="N83">
        <f t="shared" ref="N83:N94" si="48">N40-N62</f>
        <v>0</v>
      </c>
      <c r="O83">
        <f t="shared" si="47"/>
        <v>0</v>
      </c>
      <c r="P83">
        <f t="shared" si="46"/>
        <v>0</v>
      </c>
      <c r="Q83">
        <f t="shared" si="45"/>
        <v>0</v>
      </c>
    </row>
    <row r="84" spans="1:17" x14ac:dyDescent="0.25">
      <c r="A84" s="49">
        <v>10</v>
      </c>
      <c r="L84">
        <f>L41-L63</f>
        <v>0</v>
      </c>
      <c r="M84">
        <f t="shared" ref="M84:M94" si="49">M41-M63</f>
        <v>0</v>
      </c>
      <c r="N84">
        <f t="shared" si="48"/>
        <v>0</v>
      </c>
      <c r="O84">
        <f t="shared" si="47"/>
        <v>0</v>
      </c>
      <c r="P84">
        <f t="shared" si="46"/>
        <v>0</v>
      </c>
      <c r="Q84">
        <f t="shared" si="45"/>
        <v>0</v>
      </c>
    </row>
    <row r="85" spans="1:17" x14ac:dyDescent="0.25">
      <c r="A85" s="49">
        <v>9</v>
      </c>
      <c r="K85">
        <f>K42-K64</f>
        <v>0</v>
      </c>
      <c r="L85">
        <f t="shared" ref="L85:L94" si="50">L42-L64</f>
        <v>0</v>
      </c>
      <c r="M85">
        <f t="shared" si="49"/>
        <v>0</v>
      </c>
      <c r="N85">
        <f t="shared" si="48"/>
        <v>0</v>
      </c>
      <c r="O85">
        <f t="shared" si="47"/>
        <v>0</v>
      </c>
      <c r="P85">
        <f t="shared" si="46"/>
        <v>0</v>
      </c>
      <c r="Q85">
        <f t="shared" si="45"/>
        <v>0</v>
      </c>
    </row>
    <row r="86" spans="1:17" x14ac:dyDescent="0.25">
      <c r="A86" s="49">
        <v>8</v>
      </c>
      <c r="J86">
        <f>J43-J65</f>
        <v>-5.261081488037353E-2</v>
      </c>
      <c r="K86">
        <f t="shared" ref="K86:K94" si="51">K43-K65</f>
        <v>-0.10362596518549082</v>
      </c>
      <c r="L86">
        <f t="shared" si="50"/>
        <v>-0.20410899707676824</v>
      </c>
      <c r="M86">
        <f t="shared" si="49"/>
        <v>-0.40202745145110863</v>
      </c>
      <c r="N86">
        <f t="shared" si="48"/>
        <v>-0.79186157413474367</v>
      </c>
      <c r="O86">
        <f t="shared" si="47"/>
        <v>-1.5597063094270078</v>
      </c>
      <c r="P86">
        <f t="shared" si="46"/>
        <v>-1.125972375336155</v>
      </c>
      <c r="Q86">
        <f t="shared" si="45"/>
        <v>0</v>
      </c>
    </row>
    <row r="87" spans="1:17" x14ac:dyDescent="0.25">
      <c r="A87" s="49">
        <v>7</v>
      </c>
      <c r="I87">
        <f>I44-I66</f>
        <v>-0.26825433092602474</v>
      </c>
      <c r="J87">
        <f t="shared" ref="J87:J94" si="52">J44-J66</f>
        <v>-0.47732291926345932</v>
      </c>
      <c r="K87">
        <f t="shared" si="51"/>
        <v>-0.83961774934097244</v>
      </c>
      <c r="L87">
        <f t="shared" si="50"/>
        <v>-1.455717748644989</v>
      </c>
      <c r="M87">
        <f t="shared" si="49"/>
        <v>-2.4771860506717331</v>
      </c>
      <c r="N87">
        <f>N44-N66</f>
        <v>-2.1647403471114783</v>
      </c>
      <c r="O87">
        <f t="shared" si="47"/>
        <v>-0.53260527513177891</v>
      </c>
      <c r="P87">
        <f t="shared" si="46"/>
        <v>1.3339723626746292E-2</v>
      </c>
      <c r="Q87">
        <f t="shared" si="45"/>
        <v>0</v>
      </c>
    </row>
    <row r="88" spans="1:17" x14ac:dyDescent="0.25">
      <c r="A88" s="49">
        <v>6</v>
      </c>
      <c r="H88">
        <f>H45-H67</f>
        <v>-0.77670604985799641</v>
      </c>
      <c r="I88">
        <f t="shared" ref="I88:I94" si="53">I45-I67</f>
        <v>-1.2695604817969646</v>
      </c>
      <c r="J88">
        <f t="shared" si="52"/>
        <v>-2.0374563600660389</v>
      </c>
      <c r="K88">
        <f t="shared" si="51"/>
        <v>-3.1984136652422541</v>
      </c>
      <c r="L88">
        <f t="shared" si="50"/>
        <v>-2.9411634174068375</v>
      </c>
      <c r="M88">
        <f t="shared" si="49"/>
        <v>-1.1716473878512588</v>
      </c>
      <c r="N88">
        <f t="shared" si="48"/>
        <v>-0.23741792858585953</v>
      </c>
      <c r="O88">
        <f t="shared" si="47"/>
        <v>2.2891391066394817E-2</v>
      </c>
      <c r="P88">
        <f t="shared" si="46"/>
        <v>9.6120092992109107E-3</v>
      </c>
      <c r="Q88">
        <f t="shared" si="45"/>
        <v>0</v>
      </c>
    </row>
    <row r="89" spans="1:17" x14ac:dyDescent="0.25">
      <c r="A89" s="49">
        <v>5</v>
      </c>
      <c r="G89">
        <f>G46-G68</f>
        <v>-1.6829251751529362</v>
      </c>
      <c r="H89">
        <f t="shared" ref="H89:H94" si="54">H46-H68</f>
        <v>-2.5611490070399601</v>
      </c>
      <c r="I89">
        <f t="shared" si="53"/>
        <v>-3.8127305011540482</v>
      </c>
      <c r="J89">
        <f t="shared" si="52"/>
        <v>-3.5866883854298388</v>
      </c>
      <c r="K89">
        <f t="shared" si="51"/>
        <v>-1.7432921339195966</v>
      </c>
      <c r="L89">
        <f t="shared" si="50"/>
        <v>-0.60998534273046268</v>
      </c>
      <c r="M89">
        <f t="shared" si="49"/>
        <v>-9.086375613491704E-2</v>
      </c>
      <c r="N89">
        <f t="shared" si="48"/>
        <v>2.8868801048570703E-2</v>
      </c>
      <c r="O89">
        <f t="shared" si="47"/>
        <v>1.5717396344694379E-2</v>
      </c>
      <c r="P89">
        <f t="shared" si="46"/>
        <v>6.16214258035086E-3</v>
      </c>
      <c r="Q89">
        <f t="shared" si="45"/>
        <v>0</v>
      </c>
    </row>
    <row r="90" spans="1:17" x14ac:dyDescent="0.25">
      <c r="A90" s="49">
        <v>4</v>
      </c>
      <c r="F90">
        <f>F47-F69</f>
        <v>-3.0411132039665145</v>
      </c>
      <c r="G90">
        <f t="shared" ref="G90:G94" si="55">G47-G69</f>
        <v>-4.3570028232093883</v>
      </c>
      <c r="H90">
        <f t="shared" si="54"/>
        <v>-4.1505723181262386</v>
      </c>
      <c r="I90">
        <f t="shared" si="53"/>
        <v>-2.2578693716752944</v>
      </c>
      <c r="J90">
        <f t="shared" si="52"/>
        <v>-0.99716254705968943</v>
      </c>
      <c r="K90">
        <f t="shared" si="51"/>
        <v>-0.29879286428492335</v>
      </c>
      <c r="L90">
        <f t="shared" si="50"/>
        <v>-1.9170761390615354E-2</v>
      </c>
      <c r="M90">
        <f t="shared" si="49"/>
        <v>3.147499092723649E-2</v>
      </c>
      <c r="N90">
        <f t="shared" si="48"/>
        <v>1.8514023935079393E-2</v>
      </c>
      <c r="O90">
        <f t="shared" si="47"/>
        <v>9.0781199793283918E-3</v>
      </c>
      <c r="P90">
        <f t="shared" si="46"/>
        <v>2.9694139181692947E-3</v>
      </c>
      <c r="Q90">
        <f t="shared" si="45"/>
        <v>0</v>
      </c>
    </row>
    <row r="91" spans="1:17" x14ac:dyDescent="0.25">
      <c r="A91" s="49">
        <v>3</v>
      </c>
      <c r="E91">
        <f>E48-E70</f>
        <v>-4.8507788394444198</v>
      </c>
      <c r="F91">
        <f t="shared" ref="F91:F94" si="56">F48-F70</f>
        <v>-4.6574260705338286</v>
      </c>
      <c r="G91">
        <f t="shared" si="55"/>
        <v>-2.7280820391439775</v>
      </c>
      <c r="H91">
        <f t="shared" si="54"/>
        <v>-1.3761746770595753</v>
      </c>
      <c r="I91">
        <f t="shared" si="53"/>
        <v>-0.54601361550114369</v>
      </c>
      <c r="J91">
        <f t="shared" si="52"/>
        <v>-0.13042563548211916</v>
      </c>
      <c r="K91">
        <f t="shared" si="51"/>
        <v>1.4098800797931688E-2</v>
      </c>
      <c r="L91">
        <f t="shared" si="50"/>
        <v>3.0902744488372491E-2</v>
      </c>
      <c r="M91">
        <f t="shared" si="49"/>
        <v>1.8189795599369063E-2</v>
      </c>
      <c r="N91">
        <f t="shared" si="48"/>
        <v>8.9310468595265036E-3</v>
      </c>
      <c r="O91">
        <f t="shared" si="47"/>
        <v>2.9337063902730165E-3</v>
      </c>
      <c r="P91">
        <f t="shared" si="46"/>
        <v>1.4657360630110361E-5</v>
      </c>
      <c r="Q91">
        <f t="shared" si="45"/>
        <v>0</v>
      </c>
    </row>
    <row r="92" spans="1:17" x14ac:dyDescent="0.25">
      <c r="A92" s="49">
        <v>2</v>
      </c>
      <c r="D92">
        <f>D49-D71</f>
        <v>-5.1215956986764652</v>
      </c>
      <c r="E92">
        <f t="shared" ref="E92:E94" si="57">E49-E71</f>
        <v>-3.1632189828394299</v>
      </c>
      <c r="F92">
        <f t="shared" si="56"/>
        <v>-1.7414371198767356</v>
      </c>
      <c r="G92">
        <f t="shared" si="55"/>
        <v>-0.8092001584262114</v>
      </c>
      <c r="H92">
        <f t="shared" si="54"/>
        <v>-0.28105064971624927</v>
      </c>
      <c r="I92">
        <f t="shared" si="53"/>
        <v>-4.2697844270538354E-2</v>
      </c>
      <c r="J92">
        <f t="shared" si="52"/>
        <v>2.6985689869551521E-2</v>
      </c>
      <c r="K92">
        <f t="shared" si="51"/>
        <v>2.7335076753338683E-2</v>
      </c>
      <c r="L92">
        <f t="shared" si="50"/>
        <v>1.4923125554808792E-2</v>
      </c>
      <c r="M92">
        <f t="shared" si="49"/>
        <v>5.8948209344578117E-3</v>
      </c>
      <c r="N92">
        <f t="shared" si="48"/>
        <v>6.2343204746184711E-5</v>
      </c>
      <c r="O92">
        <f t="shared" si="47"/>
        <v>-2.7527293409193021E-3</v>
      </c>
      <c r="P92">
        <f t="shared" si="46"/>
        <v>-2.7198644976991204E-3</v>
      </c>
      <c r="Q92">
        <f t="shared" si="45"/>
        <v>0</v>
      </c>
    </row>
    <row r="93" spans="1:17" x14ac:dyDescent="0.25">
      <c r="A93" s="49">
        <v>1</v>
      </c>
      <c r="C93">
        <f>C50-C72</f>
        <v>-3.5699197674000693</v>
      </c>
      <c r="D93">
        <f t="shared" ref="D93:D94" si="58">D50-D72</f>
        <v>-2.0921072629365955</v>
      </c>
      <c r="E93">
        <f t="shared" si="57"/>
        <v>-1.0776796047506352</v>
      </c>
      <c r="F93">
        <f t="shared" si="56"/>
        <v>-0.45544263287512976</v>
      </c>
      <c r="G93">
        <f t="shared" si="55"/>
        <v>-0.13081554475742863</v>
      </c>
      <c r="H93">
        <f t="shared" si="54"/>
        <v>-4.2160786107814374E-4</v>
      </c>
      <c r="I93">
        <f t="shared" si="53"/>
        <v>2.8463055872027354E-2</v>
      </c>
      <c r="J93">
        <f t="shared" si="52"/>
        <v>2.0945696791237367E-2</v>
      </c>
      <c r="K93">
        <f t="shared" si="51"/>
        <v>8.8833873751568149E-3</v>
      </c>
      <c r="L93">
        <f t="shared" si="50"/>
        <v>1.3455789776628535E-4</v>
      </c>
      <c r="M93">
        <f t="shared" si="49"/>
        <v>-5.4837398078433353E-3</v>
      </c>
      <c r="N93">
        <f t="shared" si="48"/>
        <v>-8.1453258626069669E-3</v>
      </c>
      <c r="O93">
        <f t="shared" si="47"/>
        <v>-8.0153228913744101E-3</v>
      </c>
      <c r="P93">
        <f t="shared" si="46"/>
        <v>-5.2505669931619536E-3</v>
      </c>
      <c r="Q93">
        <f t="shared" si="45"/>
        <v>0</v>
      </c>
    </row>
    <row r="94" spans="1:17" x14ac:dyDescent="0.25">
      <c r="A94" s="49">
        <v>0</v>
      </c>
      <c r="B94">
        <f>B51-B73</f>
        <v>-2.428806293333686</v>
      </c>
      <c r="C94">
        <f>C51-C73</f>
        <v>-1.3462329389853753</v>
      </c>
      <c r="D94">
        <f t="shared" si="58"/>
        <v>-0.64413945438741749</v>
      </c>
      <c r="E94">
        <f t="shared" si="57"/>
        <v>-0.24197321456620458</v>
      </c>
      <c r="F94">
        <f t="shared" si="56"/>
        <v>-5.0148317946273835E-2</v>
      </c>
      <c r="G94" s="64">
        <f t="shared" si="55"/>
        <v>1.6020817013945532E-2</v>
      </c>
      <c r="H94">
        <f t="shared" si="54"/>
        <v>2.3032630115878305E-2</v>
      </c>
      <c r="I94">
        <f t="shared" si="53"/>
        <v>1.1899449509670035E-2</v>
      </c>
      <c r="J94">
        <f t="shared" si="52"/>
        <v>2.3134230698218516E-4</v>
      </c>
      <c r="K94">
        <f t="shared" si="51"/>
        <v>-8.1929933502493668E-3</v>
      </c>
      <c r="L94">
        <f t="shared" si="50"/>
        <v>-1.3551734263323567E-2</v>
      </c>
      <c r="M94">
        <f t="shared" si="49"/>
        <v>-1.6014192134463201E-2</v>
      </c>
      <c r="N94">
        <f t="shared" si="48"/>
        <v>-1.5741230984886556E-2</v>
      </c>
      <c r="O94">
        <f t="shared" si="47"/>
        <v>-1.2885665613310948E-2</v>
      </c>
      <c r="P94">
        <f t="shared" si="46"/>
        <v>-7.5926419343446128E-3</v>
      </c>
      <c r="Q94">
        <f t="shared" si="45"/>
        <v>0</v>
      </c>
    </row>
    <row r="97" spans="1:21" x14ac:dyDescent="0.25">
      <c r="A97" s="60" t="s">
        <v>46</v>
      </c>
      <c r="S97" s="60" t="s">
        <v>44</v>
      </c>
      <c r="T97" s="60" t="s">
        <v>43</v>
      </c>
      <c r="U97" t="s">
        <v>45</v>
      </c>
    </row>
    <row r="98" spans="1:21" x14ac:dyDescent="0.25">
      <c r="B98" s="54">
        <v>0</v>
      </c>
      <c r="C98" s="54">
        <v>1</v>
      </c>
      <c r="D98" s="54">
        <v>2</v>
      </c>
      <c r="E98" s="54">
        <v>3</v>
      </c>
      <c r="F98" s="54">
        <v>4</v>
      </c>
      <c r="G98" s="54">
        <v>5</v>
      </c>
      <c r="H98" s="54">
        <v>6</v>
      </c>
      <c r="I98" s="54">
        <v>7</v>
      </c>
      <c r="J98" s="54">
        <v>8</v>
      </c>
      <c r="K98" s="54">
        <v>9</v>
      </c>
      <c r="L98" s="49">
        <v>10</v>
      </c>
      <c r="M98" s="61">
        <v>11</v>
      </c>
      <c r="N98" s="61">
        <v>12</v>
      </c>
      <c r="O98" s="61">
        <v>13</v>
      </c>
      <c r="P98" s="61">
        <v>14</v>
      </c>
      <c r="Q98" s="61">
        <v>15</v>
      </c>
    </row>
    <row r="99" spans="1:21" x14ac:dyDescent="0.25">
      <c r="A99">
        <v>15</v>
      </c>
      <c r="Q99">
        <f>MAX(Q36,Q58)</f>
        <v>0</v>
      </c>
      <c r="S99">
        <f t="shared" ref="S99:S114" si="59">(FACT($B$5) / (FACT($B$5 - A99) * FACT(A99))) * ($B$10^A99)*($B$11^($B$5 - A99))</f>
        <v>2.4305097231388897E-5</v>
      </c>
      <c r="T99">
        <f t="shared" ref="T99:T114" si="60">S99*Q99</f>
        <v>0</v>
      </c>
      <c r="U99">
        <f>($B$13^$B$5)*SUM(T99:T114)</f>
        <v>12.305137604415606</v>
      </c>
    </row>
    <row r="100" spans="1:21" x14ac:dyDescent="0.25">
      <c r="A100">
        <v>14</v>
      </c>
      <c r="P100">
        <f>MAX(P37,P59)</f>
        <v>0</v>
      </c>
      <c r="Q100">
        <f t="shared" ref="Q100:Q114" si="61">MAX(Q37,Q59)</f>
        <v>0</v>
      </c>
      <c r="S100">
        <f t="shared" si="59"/>
        <v>3.7572532842667885E-4</v>
      </c>
      <c r="T100">
        <f t="shared" si="60"/>
        <v>0</v>
      </c>
    </row>
    <row r="101" spans="1:21" x14ac:dyDescent="0.25">
      <c r="A101">
        <v>13</v>
      </c>
      <c r="O101">
        <f>MAX(O38,O60)</f>
        <v>0</v>
      </c>
      <c r="P101">
        <f t="shared" ref="P101:P114" si="62">MAX(P38,P60)</f>
        <v>0</v>
      </c>
      <c r="Q101">
        <f t="shared" si="61"/>
        <v>0</v>
      </c>
      <c r="S101">
        <f t="shared" si="59"/>
        <v>2.7105059418651564E-3</v>
      </c>
      <c r="T101">
        <f t="shared" si="60"/>
        <v>0</v>
      </c>
    </row>
    <row r="102" spans="1:21" x14ac:dyDescent="0.25">
      <c r="A102">
        <v>12</v>
      </c>
      <c r="N102">
        <f>MAX(N39,N61)</f>
        <v>0</v>
      </c>
      <c r="O102">
        <f t="shared" ref="O102:O114" si="63">MAX(O39,O61)</f>
        <v>0</v>
      </c>
      <c r="P102">
        <f t="shared" si="62"/>
        <v>0</v>
      </c>
      <c r="Q102">
        <f t="shared" si="61"/>
        <v>0</v>
      </c>
      <c r="S102">
        <f t="shared" si="59"/>
        <v>1.2104707851275877E-2</v>
      </c>
      <c r="T102">
        <f t="shared" si="60"/>
        <v>0</v>
      </c>
    </row>
    <row r="103" spans="1:21" x14ac:dyDescent="0.25">
      <c r="A103">
        <v>11</v>
      </c>
      <c r="M103">
        <f>MAX(M40,M62)</f>
        <v>0</v>
      </c>
      <c r="N103">
        <f t="shared" ref="N103:N114" si="64">MAX(N40,N62)</f>
        <v>0</v>
      </c>
      <c r="O103">
        <f t="shared" si="63"/>
        <v>0</v>
      </c>
      <c r="P103">
        <f t="shared" si="62"/>
        <v>0</v>
      </c>
      <c r="Q103">
        <f t="shared" si="61"/>
        <v>0</v>
      </c>
      <c r="S103">
        <f t="shared" si="59"/>
        <v>3.7424621589713609E-2</v>
      </c>
      <c r="T103">
        <f t="shared" si="60"/>
        <v>0</v>
      </c>
    </row>
    <row r="104" spans="1:21" x14ac:dyDescent="0.25">
      <c r="A104" s="49">
        <v>10</v>
      </c>
      <c r="L104">
        <f>MAX(L41,L63)</f>
        <v>0</v>
      </c>
      <c r="M104">
        <f t="shared" ref="M104:M114" si="65">MAX(M41,M63)</f>
        <v>0</v>
      </c>
      <c r="N104">
        <f t="shared" si="64"/>
        <v>0</v>
      </c>
      <c r="O104">
        <f t="shared" si="63"/>
        <v>0</v>
      </c>
      <c r="P104">
        <f t="shared" si="62"/>
        <v>0</v>
      </c>
      <c r="Q104">
        <f t="shared" si="61"/>
        <v>0</v>
      </c>
      <c r="S104">
        <f t="shared" si="59"/>
        <v>8.485197385876013E-2</v>
      </c>
      <c r="T104">
        <f t="shared" si="60"/>
        <v>0</v>
      </c>
    </row>
    <row r="105" spans="1:21" x14ac:dyDescent="0.25">
      <c r="A105" s="49">
        <v>9</v>
      </c>
      <c r="K105">
        <f>MAX(K42,K64)</f>
        <v>0</v>
      </c>
      <c r="L105">
        <f t="shared" ref="L105:L114" si="66">MAX(L42,L64)</f>
        <v>0</v>
      </c>
      <c r="M105">
        <f t="shared" si="65"/>
        <v>0</v>
      </c>
      <c r="N105">
        <f t="shared" si="64"/>
        <v>0</v>
      </c>
      <c r="O105">
        <f t="shared" si="63"/>
        <v>0</v>
      </c>
      <c r="P105">
        <f t="shared" si="62"/>
        <v>0</v>
      </c>
      <c r="Q105">
        <f t="shared" si="61"/>
        <v>0</v>
      </c>
      <c r="S105">
        <f t="shared" si="59"/>
        <v>0.14574462596705273</v>
      </c>
      <c r="T105">
        <f t="shared" si="60"/>
        <v>0</v>
      </c>
    </row>
    <row r="106" spans="1:21" x14ac:dyDescent="0.25">
      <c r="A106" s="49">
        <v>8</v>
      </c>
      <c r="J106">
        <f>MAX(J43,J65)</f>
        <v>5.261081488037353E-2</v>
      </c>
      <c r="K106">
        <f t="shared" ref="K106:K114" si="67">MAX(K43,K65)</f>
        <v>0.10362596518549082</v>
      </c>
      <c r="L106">
        <f t="shared" si="66"/>
        <v>0.20410899707676824</v>
      </c>
      <c r="M106">
        <f t="shared" si="65"/>
        <v>0.40202745145110863</v>
      </c>
      <c r="N106">
        <f t="shared" si="64"/>
        <v>0.79186157413474367</v>
      </c>
      <c r="O106">
        <f t="shared" si="63"/>
        <v>1.5597063094270078</v>
      </c>
      <c r="P106">
        <f t="shared" si="62"/>
        <v>3.0721073621037585</v>
      </c>
      <c r="Q106">
        <f t="shared" si="61"/>
        <v>6.0510389598663039</v>
      </c>
      <c r="S106">
        <f t="shared" si="59"/>
        <v>0.19311627258349423</v>
      </c>
      <c r="T106">
        <f t="shared" si="60"/>
        <v>1.1685540891868846</v>
      </c>
    </row>
    <row r="107" spans="1:21" x14ac:dyDescent="0.25">
      <c r="A107" s="49">
        <v>7</v>
      </c>
      <c r="I107">
        <f>MAX(I44,I66)</f>
        <v>0.26825433092602474</v>
      </c>
      <c r="J107">
        <f t="shared" ref="J107:J114" si="68">MAX(J44,J66)</f>
        <v>0.47732291926345932</v>
      </c>
      <c r="K107">
        <f t="shared" si="67"/>
        <v>0.83961774934097244</v>
      </c>
      <c r="L107">
        <f t="shared" si="66"/>
        <v>1.455717748644989</v>
      </c>
      <c r="M107">
        <f t="shared" si="65"/>
        <v>2.4771860506717331</v>
      </c>
      <c r="N107">
        <f t="shared" si="64"/>
        <v>4.1108753338790676</v>
      </c>
      <c r="O107">
        <f t="shared" si="63"/>
        <v>6.5836442349980828</v>
      </c>
      <c r="P107">
        <f t="shared" si="62"/>
        <v>10.000000000000057</v>
      </c>
      <c r="Q107">
        <f t="shared" si="61"/>
        <v>13.79894228919629</v>
      </c>
      <c r="S107">
        <f t="shared" si="59"/>
        <v>0.19902183274615956</v>
      </c>
      <c r="T107">
        <f t="shared" si="60"/>
        <v>2.7462907843543323</v>
      </c>
    </row>
    <row r="108" spans="1:21" x14ac:dyDescent="0.25">
      <c r="A108" s="49">
        <v>6</v>
      </c>
      <c r="H108">
        <f>MAX(H45,H67)</f>
        <v>0.77670604985799641</v>
      </c>
      <c r="I108">
        <f t="shared" ref="I108:I114" si="69">MAX(I45,I67)</f>
        <v>1.2695604817969646</v>
      </c>
      <c r="J108">
        <f t="shared" si="68"/>
        <v>2.0374563600660389</v>
      </c>
      <c r="K108">
        <f t="shared" si="67"/>
        <v>3.1984136652422541</v>
      </c>
      <c r="L108">
        <f t="shared" si="66"/>
        <v>4.8872984041744125</v>
      </c>
      <c r="M108">
        <f t="shared" si="65"/>
        <v>7.2226863477175485</v>
      </c>
      <c r="N108">
        <f t="shared" si="64"/>
        <v>10.237417928585916</v>
      </c>
      <c r="O108">
        <f t="shared" si="63"/>
        <v>13.79894228919629</v>
      </c>
      <c r="P108">
        <f t="shared" si="62"/>
        <v>17.453564953226092</v>
      </c>
      <c r="Q108">
        <f t="shared" si="61"/>
        <v>20.96935061136152</v>
      </c>
      <c r="S108">
        <f t="shared" si="59"/>
        <v>0.1595284342652544</v>
      </c>
      <c r="T108">
        <f t="shared" si="60"/>
        <v>3.3452076705896583</v>
      </c>
    </row>
    <row r="109" spans="1:21" x14ac:dyDescent="0.25">
      <c r="A109" s="49">
        <v>5</v>
      </c>
      <c r="G109">
        <f>MAX(G46,G68)</f>
        <v>1.6829251751529362</v>
      </c>
      <c r="H109">
        <f t="shared" ref="H109:H114" si="70">MAX(H46,H68)</f>
        <v>2.5611490070399601</v>
      </c>
      <c r="I109">
        <f t="shared" si="69"/>
        <v>3.8127305011540482</v>
      </c>
      <c r="J109">
        <f t="shared" si="68"/>
        <v>5.5328233721973996</v>
      </c>
      <c r="K109">
        <f t="shared" si="67"/>
        <v>7.7943310937858721</v>
      </c>
      <c r="L109">
        <f t="shared" si="66"/>
        <v>10.609985342730505</v>
      </c>
      <c r="M109">
        <f t="shared" si="65"/>
        <v>13.889806045331207</v>
      </c>
      <c r="N109">
        <f t="shared" si="64"/>
        <v>17.453564953226092</v>
      </c>
      <c r="O109">
        <f t="shared" si="63"/>
        <v>20.969350611361506</v>
      </c>
      <c r="P109">
        <f t="shared" si="62"/>
        <v>24.351573601332532</v>
      </c>
      <c r="Q109">
        <f t="shared" si="61"/>
        <v>27.605307891822619</v>
      </c>
      <c r="S109">
        <f t="shared" si="59"/>
        <v>9.8644120263461949E-2</v>
      </c>
      <c r="T109">
        <f t="shared" si="60"/>
        <v>2.7231013115908458</v>
      </c>
    </row>
    <row r="110" spans="1:21" x14ac:dyDescent="0.25">
      <c r="A110" s="49">
        <v>4</v>
      </c>
      <c r="F110">
        <f>MAX(F47,F69)</f>
        <v>3.0411132039665145</v>
      </c>
      <c r="G110">
        <f t="shared" ref="G110:G114" si="71">MAX(G47,G69)</f>
        <v>4.3570028232093883</v>
      </c>
      <c r="H110">
        <f t="shared" si="70"/>
        <v>6.0967073048937852</v>
      </c>
      <c r="I110">
        <f t="shared" si="69"/>
        <v>8.3089083315415557</v>
      </c>
      <c r="J110">
        <f t="shared" si="68"/>
        <v>10.997162547059718</v>
      </c>
      <c r="K110">
        <f t="shared" si="67"/>
        <v>14.097735153481199</v>
      </c>
      <c r="L110">
        <f t="shared" si="66"/>
        <v>17.472735714616707</v>
      </c>
      <c r="M110">
        <f t="shared" si="65"/>
        <v>20.969350611361506</v>
      </c>
      <c r="N110">
        <f t="shared" si="64"/>
        <v>24.351573601332518</v>
      </c>
      <c r="O110">
        <f t="shared" si="63"/>
        <v>27.605307891822619</v>
      </c>
      <c r="P110">
        <f t="shared" si="62"/>
        <v>30.735434694373197</v>
      </c>
      <c r="Q110">
        <f t="shared" si="61"/>
        <v>33.746649786116237</v>
      </c>
      <c r="S110">
        <f t="shared" si="59"/>
        <v>4.6209404741758005E-2</v>
      </c>
      <c r="T110">
        <f t="shared" si="60"/>
        <v>1.5594125986450065</v>
      </c>
    </row>
    <row r="111" spans="1:21" x14ac:dyDescent="0.25">
      <c r="A111" s="49">
        <v>3</v>
      </c>
      <c r="E111">
        <f>MAX(E48,E70)</f>
        <v>4.8507788394444198</v>
      </c>
      <c r="F111">
        <f t="shared" ref="F111:F114" si="72">MAX(F48,F70)</f>
        <v>6.6035610573013752</v>
      </c>
      <c r="G111">
        <f t="shared" si="71"/>
        <v>8.7791209990102246</v>
      </c>
      <c r="H111">
        <f t="shared" si="70"/>
        <v>11.37617467705959</v>
      </c>
      <c r="I111">
        <f t="shared" si="69"/>
        <v>14.344955904697406</v>
      </c>
      <c r="J111">
        <f t="shared" si="68"/>
        <v>17.583990588708197</v>
      </c>
      <c r="K111">
        <f t="shared" si="67"/>
        <v>20.969350611361506</v>
      </c>
      <c r="L111">
        <f t="shared" si="66"/>
        <v>24.351573601332518</v>
      </c>
      <c r="M111">
        <f t="shared" si="65"/>
        <v>27.605307891822605</v>
      </c>
      <c r="N111">
        <f t="shared" si="64"/>
        <v>30.735434694373197</v>
      </c>
      <c r="O111">
        <f t="shared" si="63"/>
        <v>33.746649786116222</v>
      </c>
      <c r="P111">
        <f t="shared" si="62"/>
        <v>36.643470554320373</v>
      </c>
      <c r="Q111">
        <f t="shared" si="61"/>
        <v>39.43024277331898</v>
      </c>
      <c r="S111">
        <f t="shared" si="59"/>
        <v>1.5874167927921162E-2</v>
      </c>
      <c r="T111">
        <f t="shared" si="60"/>
        <v>0.62592229522236531</v>
      </c>
    </row>
    <row r="112" spans="1:21" x14ac:dyDescent="0.25">
      <c r="A112" s="49">
        <v>2</v>
      </c>
      <c r="D112">
        <f>MAX(D49,D71)</f>
        <v>7.0677306854440118</v>
      </c>
      <c r="E112">
        <f t="shared" ref="E112:E114" si="73">MAX(E49,E71)</f>
        <v>9.214257942705677</v>
      </c>
      <c r="F112">
        <f t="shared" si="72"/>
        <v>11.741437119876736</v>
      </c>
      <c r="G112">
        <f t="shared" si="71"/>
        <v>14.608142447622459</v>
      </c>
      <c r="H112">
        <f t="shared" si="70"/>
        <v>17.734615602942313</v>
      </c>
      <c r="I112">
        <f t="shared" si="69"/>
        <v>21.01204845563203</v>
      </c>
      <c r="J112">
        <f t="shared" si="68"/>
        <v>24.351573601332518</v>
      </c>
      <c r="K112">
        <f t="shared" si="67"/>
        <v>27.605307891822605</v>
      </c>
      <c r="L112">
        <f t="shared" si="66"/>
        <v>30.735434694373183</v>
      </c>
      <c r="M112">
        <f t="shared" si="65"/>
        <v>33.746649786116222</v>
      </c>
      <c r="N112">
        <f t="shared" si="64"/>
        <v>36.643470554320359</v>
      </c>
      <c r="O112">
        <f t="shared" si="63"/>
        <v>39.4329955026599</v>
      </c>
      <c r="P112">
        <f t="shared" si="62"/>
        <v>42.113866988484183</v>
      </c>
      <c r="Q112">
        <f t="shared" si="61"/>
        <v>44.690205465543571</v>
      </c>
      <c r="S112">
        <f t="shared" si="59"/>
        <v>3.775293528214371E-3</v>
      </c>
      <c r="T112">
        <f t="shared" si="60"/>
        <v>0.16871864346863716</v>
      </c>
    </row>
    <row r="113" spans="1:20" x14ac:dyDescent="0.25">
      <c r="A113" s="49">
        <v>1</v>
      </c>
      <c r="C113">
        <f>MAX(C50,C72)</f>
        <v>9.6209587272663164</v>
      </c>
      <c r="D113">
        <f t="shared" ref="D113:D114" si="74">MAX(D50,D72)</f>
        <v>12.092107262936596</v>
      </c>
      <c r="E113">
        <f t="shared" si="73"/>
        <v>14.876621893946869</v>
      </c>
      <c r="F113">
        <f t="shared" si="72"/>
        <v>17.909007586101179</v>
      </c>
      <c r="G113">
        <f t="shared" si="71"/>
        <v>21.100166156118906</v>
      </c>
      <c r="H113">
        <f t="shared" si="70"/>
        <v>24.351995209193582</v>
      </c>
      <c r="I113">
        <f t="shared" si="69"/>
        <v>27.605307891822605</v>
      </c>
      <c r="J113">
        <f t="shared" si="68"/>
        <v>30.735434694373183</v>
      </c>
      <c r="K113">
        <f t="shared" si="67"/>
        <v>33.746649786116208</v>
      </c>
      <c r="L113">
        <f t="shared" si="66"/>
        <v>36.643470554320359</v>
      </c>
      <c r="M113">
        <f t="shared" si="65"/>
        <v>39.435726513126809</v>
      </c>
      <c r="N113">
        <f t="shared" si="64"/>
        <v>42.119292449849091</v>
      </c>
      <c r="O113">
        <f t="shared" si="63"/>
        <v>44.698220788434945</v>
      </c>
      <c r="P113">
        <f t="shared" si="62"/>
        <v>47.176537436093369</v>
      </c>
      <c r="Q113">
        <f t="shared" si="61"/>
        <v>49.558113421987748</v>
      </c>
      <c r="S113">
        <f t="shared" si="59"/>
        <v>5.5582046659413025E-4</v>
      </c>
      <c r="T113">
        <f t="shared" si="60"/>
        <v>2.7545413725734061E-2</v>
      </c>
    </row>
    <row r="114" spans="1:20" x14ac:dyDescent="0.25">
      <c r="A114" s="49">
        <v>0</v>
      </c>
      <c r="B114">
        <f>MAX(B51,B73)</f>
        <v>12.428806293333686</v>
      </c>
      <c r="C114">
        <f>MAX(C51,C73)</f>
        <v>15.145175228181609</v>
      </c>
      <c r="D114">
        <f t="shared" si="74"/>
        <v>18.097704407613453</v>
      </c>
      <c r="E114">
        <f t="shared" si="73"/>
        <v>21.211323825927668</v>
      </c>
      <c r="F114">
        <f t="shared" si="72"/>
        <v>24.401721919278764</v>
      </c>
      <c r="G114">
        <f t="shared" si="71"/>
        <v>27.605307891822591</v>
      </c>
      <c r="H114">
        <f t="shared" si="70"/>
        <v>30.735434694373183</v>
      </c>
      <c r="I114">
        <f t="shared" si="69"/>
        <v>33.746649786116208</v>
      </c>
      <c r="J114">
        <f t="shared" si="68"/>
        <v>36.643470554320345</v>
      </c>
      <c r="K114">
        <f t="shared" si="67"/>
        <v>39.438435766669215</v>
      </c>
      <c r="L114">
        <f t="shared" si="66"/>
        <v>42.124698858249793</v>
      </c>
      <c r="M114">
        <f t="shared" si="65"/>
        <v>44.706219657678034</v>
      </c>
      <c r="N114">
        <f t="shared" si="64"/>
        <v>47.187028100085094</v>
      </c>
      <c r="O114">
        <f t="shared" si="63"/>
        <v>49.570999087601059</v>
      </c>
      <c r="P114">
        <f t="shared" si="62"/>
        <v>51.861858453522224</v>
      </c>
      <c r="Q114">
        <f t="shared" si="61"/>
        <v>54.063188697035102</v>
      </c>
      <c r="S114">
        <f t="shared" si="59"/>
        <v>3.8187842815977577E-5</v>
      </c>
      <c r="T114">
        <f t="shared" si="60"/>
        <v>2.0645565520929121E-3</v>
      </c>
    </row>
    <row r="119" spans="1:20" x14ac:dyDescent="0.25">
      <c r="A119" s="60" t="s">
        <v>47</v>
      </c>
    </row>
    <row r="120" spans="1:20" x14ac:dyDescent="0.25">
      <c r="A120">
        <f>B114 + $B$2 * EXP(-$B$7 * $B$3) - '15PeriodBinomialModelCall'!B73  -$G$3 * EXP(-$B$6*$B$3)</f>
        <v>9.7497278631720974E-2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zoomScale="60" zoomScaleNormal="60" workbookViewId="0">
      <selection sqref="A1:Q31"/>
    </sheetView>
  </sheetViews>
  <sheetFormatPr baseColWidth="10" defaultRowHeight="15" x14ac:dyDescent="0.25"/>
  <cols>
    <col min="16" max="16" width="11.42578125" customWidth="1"/>
  </cols>
  <sheetData>
    <row r="1" spans="1:19" ht="15.75" thickBot="1" x14ac:dyDescent="0.3">
      <c r="A1" s="69" t="s">
        <v>0</v>
      </c>
      <c r="B1" s="70"/>
      <c r="F1" s="69" t="s">
        <v>1</v>
      </c>
      <c r="G1" s="70"/>
    </row>
    <row r="2" spans="1:19" x14ac:dyDescent="0.25">
      <c r="A2" s="3" t="s">
        <v>2</v>
      </c>
      <c r="B2" s="4">
        <v>100</v>
      </c>
      <c r="F2" s="50" t="s">
        <v>20</v>
      </c>
      <c r="G2" s="42">
        <v>-1</v>
      </c>
    </row>
    <row r="3" spans="1:19" ht="15.75" thickBot="1" x14ac:dyDescent="0.3">
      <c r="A3" s="7" t="s">
        <v>4</v>
      </c>
      <c r="B3" s="8">
        <v>0.25</v>
      </c>
      <c r="F3" s="51" t="s">
        <v>3</v>
      </c>
      <c r="G3" s="52">
        <v>110</v>
      </c>
    </row>
    <row r="4" spans="1:19" x14ac:dyDescent="0.25">
      <c r="A4" s="7" t="s">
        <v>5</v>
      </c>
      <c r="B4" s="10">
        <v>0.3</v>
      </c>
    </row>
    <row r="5" spans="1:19" x14ac:dyDescent="0.25">
      <c r="A5" s="7" t="s">
        <v>6</v>
      </c>
      <c r="B5" s="11">
        <v>15</v>
      </c>
    </row>
    <row r="6" spans="1:19" x14ac:dyDescent="0.25">
      <c r="A6" s="7" t="s">
        <v>22</v>
      </c>
      <c r="B6" s="46">
        <v>0.02</v>
      </c>
    </row>
    <row r="7" spans="1:19" ht="15.75" thickBot="1" x14ac:dyDescent="0.3">
      <c r="A7" s="47" t="s">
        <v>23</v>
      </c>
      <c r="B7" s="48">
        <v>0.01</v>
      </c>
      <c r="S7">
        <f ca="1">S7:Y24</f>
        <v>0</v>
      </c>
    </row>
    <row r="8" spans="1:19" x14ac:dyDescent="0.25">
      <c r="A8" s="13" t="s">
        <v>8</v>
      </c>
      <c r="B8" s="14">
        <f>EXP(B4*SQRT(B3/B5))</f>
        <v>1.0394896104013376</v>
      </c>
    </row>
    <row r="9" spans="1:19" x14ac:dyDescent="0.25">
      <c r="A9" s="15" t="s">
        <v>9</v>
      </c>
      <c r="B9" s="16">
        <f>1/B8</f>
        <v>0.96201057710803761</v>
      </c>
      <c r="S9" s="55"/>
    </row>
    <row r="10" spans="1:19" x14ac:dyDescent="0.25">
      <c r="A10" s="15" t="s">
        <v>10</v>
      </c>
      <c r="B10" s="18">
        <f>(EXP((B6 - B7) * B3/B5) - B9) / (B8 - B9)</f>
        <v>0.49247005062451049</v>
      </c>
      <c r="S10" s="55"/>
    </row>
    <row r="11" spans="1:19" ht="15.75" thickBot="1" x14ac:dyDescent="0.3">
      <c r="A11" s="19" t="s">
        <v>11</v>
      </c>
      <c r="B11" s="20">
        <f>1 - B10</f>
        <v>0.50752994937548945</v>
      </c>
      <c r="S11" s="55"/>
    </row>
    <row r="12" spans="1:19" x14ac:dyDescent="0.25">
      <c r="A12" s="15" t="s">
        <v>7</v>
      </c>
      <c r="B12">
        <f>EXP($B$6*$B$3/ $B$5)</f>
        <v>1.0003333888950623</v>
      </c>
      <c r="S12" s="55"/>
    </row>
    <row r="13" spans="1:19" x14ac:dyDescent="0.25">
      <c r="A13" s="15" t="s">
        <v>37</v>
      </c>
      <c r="B13">
        <f>1/$B$12</f>
        <v>0.9996667222160498</v>
      </c>
      <c r="S13" s="55"/>
    </row>
    <row r="14" spans="1:19" x14ac:dyDescent="0.25">
      <c r="A14" s="53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S14" s="55"/>
    </row>
    <row r="15" spans="1:19" x14ac:dyDescent="0.25">
      <c r="A15" s="49"/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61">
        <v>11</v>
      </c>
      <c r="N15" s="61">
        <v>12</v>
      </c>
      <c r="O15" s="61">
        <v>13</v>
      </c>
      <c r="P15" s="61">
        <v>14</v>
      </c>
      <c r="Q15" s="61">
        <v>15</v>
      </c>
      <c r="S15" s="55"/>
    </row>
    <row r="16" spans="1:19" x14ac:dyDescent="0.25">
      <c r="A16">
        <v>15</v>
      </c>
      <c r="Q16">
        <f ca="1">P17*$B$8</f>
        <v>178.77315075823685</v>
      </c>
      <c r="S16" s="55"/>
    </row>
    <row r="17" spans="1:19" x14ac:dyDescent="0.25">
      <c r="A17">
        <v>14</v>
      </c>
      <c r="P17">
        <f ca="1">O18*$B$8</f>
        <v>171.98166193235366</v>
      </c>
      <c r="Q17">
        <f t="shared" ref="Q17:Q30" ca="1" si="0">P18*$B$8</f>
        <v>165.44817784754298</v>
      </c>
      <c r="S17" s="55"/>
    </row>
    <row r="18" spans="1:19" x14ac:dyDescent="0.25">
      <c r="A18">
        <v>13</v>
      </c>
      <c r="O18">
        <f ca="1">N19*$B$8</f>
        <v>165.44817784754298</v>
      </c>
      <c r="P18">
        <f t="shared" ref="P18:P30" ca="1" si="1">O19*$B$8</f>
        <v>159.16289705258808</v>
      </c>
      <c r="Q18">
        <f t="shared" ca="1" si="0"/>
        <v>153.11639044774745</v>
      </c>
      <c r="S18" s="55"/>
    </row>
    <row r="19" spans="1:19" x14ac:dyDescent="0.25">
      <c r="A19">
        <v>12</v>
      </c>
      <c r="N19">
        <f ca="1">M20*$B$8</f>
        <v>159.16289705258808</v>
      </c>
      <c r="O19">
        <f t="shared" ref="O19:O30" ca="1" si="2">N20*$B$8</f>
        <v>153.11639044774745</v>
      </c>
      <c r="P19">
        <f t="shared" ca="1" si="1"/>
        <v>147.29958713933715</v>
      </c>
      <c r="Q19">
        <f t="shared" ca="1" si="0"/>
        <v>141.70376083168938</v>
      </c>
      <c r="S19" s="55"/>
    </row>
    <row r="20" spans="1:19" x14ac:dyDescent="0.25">
      <c r="A20">
        <v>11</v>
      </c>
      <c r="M20">
        <f ca="1">L21*$B$8</f>
        <v>153.11639044774745</v>
      </c>
      <c r="N20">
        <f t="shared" ref="N20:N30" ca="1" si="3">M21*$B$8</f>
        <v>147.29958713933715</v>
      </c>
      <c r="O20">
        <f t="shared" ca="1" si="2"/>
        <v>141.70376083168941</v>
      </c>
      <c r="P20">
        <f t="shared" ca="1" si="1"/>
        <v>136.32051673607285</v>
      </c>
      <c r="Q20">
        <f t="shared" ca="1" si="0"/>
        <v>131.14177897693534</v>
      </c>
    </row>
    <row r="21" spans="1:19" x14ac:dyDescent="0.25">
      <c r="A21" s="49">
        <v>10</v>
      </c>
      <c r="B21" s="54"/>
      <c r="C21" s="55" t="str">
        <f t="shared" ref="C21:L31" ca="1" si="4">IF($A21&lt;C$15,$B$9*OFFSET(C21,0,-1),IF($A21=C$15,$B$8*OFFSET(C21,1,-1),""))</f>
        <v/>
      </c>
      <c r="D21" s="55" t="str">
        <f t="shared" ca="1" si="4"/>
        <v/>
      </c>
      <c r="E21" s="55" t="str">
        <f t="shared" ca="1" si="4"/>
        <v/>
      </c>
      <c r="F21" s="55" t="str">
        <f t="shared" ca="1" si="4"/>
        <v/>
      </c>
      <c r="G21" s="55" t="str">
        <f t="shared" ca="1" si="4"/>
        <v/>
      </c>
      <c r="H21" s="55" t="str">
        <f t="shared" ca="1" si="4"/>
        <v/>
      </c>
      <c r="I21" s="55" t="str">
        <f t="shared" ca="1" si="4"/>
        <v/>
      </c>
      <c r="J21" s="55" t="str">
        <f t="shared" ca="1" si="4"/>
        <v/>
      </c>
      <c r="K21" s="55" t="str">
        <f t="shared" ca="1" si="4"/>
        <v/>
      </c>
      <c r="L21" s="55">
        <f ca="1">IF($A21&lt;L$15,$B$9*OFFSET(L21,0,-1),IF($A21=L$15,$B$8*OFFSET(L21,1,-1),""))</f>
        <v>147.29958713933715</v>
      </c>
      <c r="M21">
        <f t="shared" ref="M21:M30" ca="1" si="5">L22*$B$8</f>
        <v>141.70376083168941</v>
      </c>
      <c r="N21">
        <f t="shared" ca="1" si="3"/>
        <v>136.32051673607288</v>
      </c>
      <c r="O21">
        <f t="shared" ca="1" si="2"/>
        <v>131.14177897693534</v>
      </c>
      <c r="P21">
        <f t="shared" ca="1" si="1"/>
        <v>126.15977847657629</v>
      </c>
      <c r="Q21">
        <f t="shared" ca="1" si="0"/>
        <v>121.36704130007335</v>
      </c>
    </row>
    <row r="22" spans="1:19" x14ac:dyDescent="0.25">
      <c r="A22" s="49">
        <v>9</v>
      </c>
      <c r="B22" s="54"/>
      <c r="C22" s="55" t="str">
        <f t="shared" ca="1" si="4"/>
        <v/>
      </c>
      <c r="D22" s="55" t="str">
        <f t="shared" ca="1" si="4"/>
        <v/>
      </c>
      <c r="E22" s="55" t="str">
        <f t="shared" ca="1" si="4"/>
        <v/>
      </c>
      <c r="F22" s="55" t="str">
        <f t="shared" ca="1" si="4"/>
        <v/>
      </c>
      <c r="G22" s="55" t="str">
        <f t="shared" ca="1" si="4"/>
        <v/>
      </c>
      <c r="H22" s="55" t="str">
        <f t="shared" ca="1" si="4"/>
        <v/>
      </c>
      <c r="I22" s="55" t="str">
        <f t="shared" ca="1" si="4"/>
        <v/>
      </c>
      <c r="J22" s="55" t="str">
        <f t="shared" ca="1" si="4"/>
        <v/>
      </c>
      <c r="K22" s="55">
        <f t="shared" ca="1" si="4"/>
        <v>141.70376083168941</v>
      </c>
      <c r="L22" s="55">
        <f t="shared" ca="1" si="4"/>
        <v>136.32051673607288</v>
      </c>
      <c r="M22">
        <f t="shared" ca="1" si="5"/>
        <v>131.14177897693537</v>
      </c>
      <c r="N22">
        <f t="shared" ca="1" si="3"/>
        <v>126.15977847657629</v>
      </c>
      <c r="O22">
        <f t="shared" ca="1" si="2"/>
        <v>121.36704130007335</v>
      </c>
      <c r="P22">
        <f t="shared" ca="1" si="1"/>
        <v>116.7563774429786</v>
      </c>
      <c r="Q22">
        <f t="shared" ca="1" si="0"/>
        <v>112.32087004496371</v>
      </c>
    </row>
    <row r="23" spans="1:19" x14ac:dyDescent="0.25">
      <c r="A23" s="49">
        <v>8</v>
      </c>
      <c r="B23" s="54"/>
      <c r="C23" s="55" t="str">
        <f t="shared" ca="1" si="4"/>
        <v/>
      </c>
      <c r="D23" s="55" t="str">
        <f t="shared" ca="1" si="4"/>
        <v/>
      </c>
      <c r="E23" s="55" t="str">
        <f t="shared" ca="1" si="4"/>
        <v/>
      </c>
      <c r="F23" s="55" t="str">
        <f t="shared" ca="1" si="4"/>
        <v/>
      </c>
      <c r="G23" s="55" t="str">
        <f t="shared" ca="1" si="4"/>
        <v/>
      </c>
      <c r="H23" s="55" t="str">
        <f t="shared" ca="1" si="4"/>
        <v/>
      </c>
      <c r="I23" s="55" t="str">
        <f t="shared" ca="1" si="4"/>
        <v/>
      </c>
      <c r="J23" s="55">
        <f t="shared" ca="1" si="4"/>
        <v>136.32051673607288</v>
      </c>
      <c r="K23" s="55">
        <f t="shared" ca="1" si="4"/>
        <v>131.14177897693537</v>
      </c>
      <c r="L23" s="55">
        <f t="shared" ca="1" si="4"/>
        <v>126.15977847657631</v>
      </c>
      <c r="M23">
        <f t="shared" ca="1" si="5"/>
        <v>121.36704130007335</v>
      </c>
      <c r="N23">
        <f t="shared" ca="1" si="3"/>
        <v>116.7563774429786</v>
      </c>
      <c r="O23">
        <f t="shared" ca="1" si="2"/>
        <v>112.32087004496371</v>
      </c>
      <c r="P23">
        <f t="shared" ca="1" si="1"/>
        <v>108.05386501323244</v>
      </c>
      <c r="Q23">
        <f t="shared" ca="1" si="0"/>
        <v>103.94896104013371</v>
      </c>
    </row>
    <row r="24" spans="1:19" x14ac:dyDescent="0.25">
      <c r="A24" s="49">
        <v>7</v>
      </c>
      <c r="B24" s="54"/>
      <c r="C24" s="55" t="str">
        <f t="shared" ca="1" si="4"/>
        <v/>
      </c>
      <c r="D24" s="55" t="str">
        <f t="shared" ca="1" si="4"/>
        <v/>
      </c>
      <c r="E24" s="55" t="str">
        <f t="shared" ca="1" si="4"/>
        <v/>
      </c>
      <c r="F24" s="55" t="str">
        <f t="shared" ca="1" si="4"/>
        <v/>
      </c>
      <c r="G24" s="55" t="str">
        <f t="shared" ca="1" si="4"/>
        <v/>
      </c>
      <c r="H24" s="55" t="str">
        <f t="shared" ca="1" si="4"/>
        <v/>
      </c>
      <c r="I24" s="55">
        <f t="shared" ca="1" si="4"/>
        <v>131.14177897693537</v>
      </c>
      <c r="J24" s="55">
        <f t="shared" ca="1" si="4"/>
        <v>126.15977847657631</v>
      </c>
      <c r="K24" s="55">
        <f t="shared" ca="1" si="4"/>
        <v>121.36704130007335</v>
      </c>
      <c r="L24" s="55">
        <f t="shared" ca="1" si="4"/>
        <v>116.7563774429786</v>
      </c>
      <c r="M24">
        <f t="shared" ca="1" si="5"/>
        <v>112.32087004496371</v>
      </c>
      <c r="N24">
        <f t="shared" ca="1" si="3"/>
        <v>108.05386501323244</v>
      </c>
      <c r="O24">
        <f t="shared" ca="1" si="2"/>
        <v>103.94896104013374</v>
      </c>
      <c r="P24">
        <f t="shared" ca="1" si="1"/>
        <v>99.999999999999957</v>
      </c>
      <c r="Q24">
        <f t="shared" ca="1" si="0"/>
        <v>96.201057710803695</v>
      </c>
    </row>
    <row r="25" spans="1:19" x14ac:dyDescent="0.25">
      <c r="A25" s="49">
        <v>6</v>
      </c>
      <c r="B25" s="54"/>
      <c r="C25" s="55" t="str">
        <f t="shared" ca="1" si="4"/>
        <v/>
      </c>
      <c r="D25" s="55" t="str">
        <f t="shared" ca="1" si="4"/>
        <v/>
      </c>
      <c r="E25" s="55" t="str">
        <f t="shared" ca="1" si="4"/>
        <v/>
      </c>
      <c r="F25" s="55" t="str">
        <f t="shared" ca="1" si="4"/>
        <v/>
      </c>
      <c r="G25" s="55" t="str">
        <f t="shared" ca="1" si="4"/>
        <v/>
      </c>
      <c r="H25" s="55">
        <f t="shared" ca="1" si="4"/>
        <v>126.15977847657631</v>
      </c>
      <c r="I25" s="55">
        <f t="shared" ca="1" si="4"/>
        <v>121.36704130007335</v>
      </c>
      <c r="J25" s="55">
        <f t="shared" ca="1" si="4"/>
        <v>116.7563774429786</v>
      </c>
      <c r="K25" s="55">
        <f t="shared" ca="1" si="4"/>
        <v>112.32087004496371</v>
      </c>
      <c r="L25" s="55">
        <f t="shared" ca="1" si="4"/>
        <v>108.05386501323244</v>
      </c>
      <c r="M25">
        <f t="shared" ca="1" si="5"/>
        <v>103.94896104013374</v>
      </c>
      <c r="N25">
        <f t="shared" ca="1" si="3"/>
        <v>99.999999999999986</v>
      </c>
      <c r="O25">
        <f t="shared" ca="1" si="2"/>
        <v>96.201057710803724</v>
      </c>
      <c r="P25">
        <f t="shared" ca="1" si="1"/>
        <v>92.546435046773894</v>
      </c>
      <c r="Q25">
        <f t="shared" ca="1" si="0"/>
        <v>89.03064938863848</v>
      </c>
    </row>
    <row r="26" spans="1:19" x14ac:dyDescent="0.25">
      <c r="A26" s="49">
        <v>5</v>
      </c>
      <c r="B26" s="49"/>
      <c r="C26" s="55" t="str">
        <f t="shared" ca="1" si="4"/>
        <v/>
      </c>
      <c r="D26" s="55" t="str">
        <f t="shared" ca="1" si="4"/>
        <v/>
      </c>
      <c r="E26" s="55" t="str">
        <f t="shared" ca="1" si="4"/>
        <v/>
      </c>
      <c r="F26" s="55" t="str">
        <f t="shared" ca="1" si="4"/>
        <v/>
      </c>
      <c r="G26" s="55">
        <f t="shared" ca="1" si="4"/>
        <v>121.36704130007337</v>
      </c>
      <c r="H26" s="55">
        <f t="shared" ca="1" si="4"/>
        <v>116.75637744297862</v>
      </c>
      <c r="I26" s="55">
        <f t="shared" ca="1" si="4"/>
        <v>112.32087004496373</v>
      </c>
      <c r="J26" s="55">
        <f t="shared" ca="1" si="4"/>
        <v>108.05386501323245</v>
      </c>
      <c r="K26" s="55">
        <f t="shared" ca="1" si="4"/>
        <v>103.94896104013375</v>
      </c>
      <c r="L26" s="55">
        <f t="shared" ca="1" si="4"/>
        <v>99.999999999999986</v>
      </c>
      <c r="M26">
        <f t="shared" ca="1" si="5"/>
        <v>96.201057710803752</v>
      </c>
      <c r="N26">
        <f t="shared" ca="1" si="3"/>
        <v>92.546435046773922</v>
      </c>
      <c r="O26">
        <f t="shared" ca="1" si="2"/>
        <v>89.03064938863848</v>
      </c>
      <c r="P26">
        <f t="shared" ca="1" si="1"/>
        <v>85.648426398667468</v>
      </c>
      <c r="Q26">
        <f t="shared" ca="1" si="0"/>
        <v>82.394692108177381</v>
      </c>
    </row>
    <row r="27" spans="1:19" x14ac:dyDescent="0.25">
      <c r="A27" s="49">
        <v>4</v>
      </c>
      <c r="B27" s="49"/>
      <c r="C27" s="55" t="str">
        <f t="shared" ca="1" si="4"/>
        <v/>
      </c>
      <c r="D27" s="55" t="str">
        <f t="shared" ca="1" si="4"/>
        <v/>
      </c>
      <c r="E27" s="55" t="str">
        <f t="shared" ca="1" si="4"/>
        <v/>
      </c>
      <c r="F27" s="55">
        <f t="shared" ca="1" si="4"/>
        <v>116.75637744297862</v>
      </c>
      <c r="G27" s="55">
        <f t="shared" ca="1" si="4"/>
        <v>112.32087004496373</v>
      </c>
      <c r="H27" s="55">
        <f t="shared" ca="1" si="4"/>
        <v>108.05386501323245</v>
      </c>
      <c r="I27" s="55">
        <f t="shared" ca="1" si="4"/>
        <v>103.94896104013375</v>
      </c>
      <c r="J27" s="55">
        <f t="shared" ca="1" si="4"/>
        <v>99.999999999999986</v>
      </c>
      <c r="K27" s="55">
        <f t="shared" ca="1" si="4"/>
        <v>96.201057710803752</v>
      </c>
      <c r="L27" s="55">
        <f t="shared" ca="1" si="4"/>
        <v>92.546435046773951</v>
      </c>
      <c r="M27">
        <f t="shared" ca="1" si="5"/>
        <v>89.030649388638508</v>
      </c>
      <c r="N27">
        <f t="shared" ca="1" si="3"/>
        <v>85.648426398667468</v>
      </c>
      <c r="O27">
        <f t="shared" ca="1" si="2"/>
        <v>82.394692108177381</v>
      </c>
      <c r="P27">
        <f t="shared" ca="1" si="1"/>
        <v>79.264565305626803</v>
      </c>
      <c r="Q27">
        <f t="shared" ca="1" si="0"/>
        <v>76.253350213883763</v>
      </c>
    </row>
    <row r="28" spans="1:19" x14ac:dyDescent="0.25">
      <c r="A28" s="49">
        <v>3</v>
      </c>
      <c r="B28" s="49"/>
      <c r="C28" s="55" t="str">
        <f t="shared" ca="1" si="4"/>
        <v/>
      </c>
      <c r="D28" s="55" t="str">
        <f t="shared" ca="1" si="4"/>
        <v/>
      </c>
      <c r="E28" s="55">
        <f t="shared" ca="1" si="4"/>
        <v>112.32087004496373</v>
      </c>
      <c r="F28" s="55">
        <f t="shared" ca="1" si="4"/>
        <v>108.05386501323245</v>
      </c>
      <c r="G28" s="55">
        <f t="shared" ca="1" si="4"/>
        <v>103.94896104013375</v>
      </c>
      <c r="H28" s="55">
        <f t="shared" ca="1" si="4"/>
        <v>99.999999999999986</v>
      </c>
      <c r="I28" s="55">
        <f t="shared" ca="1" si="4"/>
        <v>96.201057710803752</v>
      </c>
      <c r="J28" s="55">
        <f t="shared" ca="1" si="4"/>
        <v>92.546435046773951</v>
      </c>
      <c r="K28" s="55">
        <f t="shared" ca="1" si="4"/>
        <v>89.030649388638523</v>
      </c>
      <c r="L28" s="55">
        <f t="shared" ca="1" si="4"/>
        <v>85.648426398667496</v>
      </c>
      <c r="M28">
        <f t="shared" ca="1" si="5"/>
        <v>82.394692108177381</v>
      </c>
      <c r="N28">
        <f t="shared" ca="1" si="3"/>
        <v>79.264565305626803</v>
      </c>
      <c r="O28">
        <f t="shared" ca="1" si="2"/>
        <v>76.253350213883778</v>
      </c>
      <c r="P28">
        <f t="shared" ca="1" si="1"/>
        <v>73.356529445679627</v>
      </c>
      <c r="Q28">
        <f t="shared" ca="1" si="0"/>
        <v>70.56975722668102</v>
      </c>
    </row>
    <row r="29" spans="1:19" x14ac:dyDescent="0.25">
      <c r="A29" s="49">
        <v>2</v>
      </c>
      <c r="B29" s="49"/>
      <c r="C29" s="55" t="str">
        <f t="shared" ca="1" si="4"/>
        <v/>
      </c>
      <c r="D29" s="55">
        <f t="shared" ca="1" si="4"/>
        <v>108.05386501323245</v>
      </c>
      <c r="E29" s="55">
        <f t="shared" ca="1" si="4"/>
        <v>103.94896104013375</v>
      </c>
      <c r="F29" s="55">
        <f t="shared" ca="1" si="4"/>
        <v>99.999999999999986</v>
      </c>
      <c r="G29" s="55">
        <f t="shared" ca="1" si="4"/>
        <v>96.201057710803752</v>
      </c>
      <c r="H29" s="55">
        <f t="shared" ca="1" si="4"/>
        <v>92.546435046773951</v>
      </c>
      <c r="I29" s="55">
        <f t="shared" ca="1" si="4"/>
        <v>89.030649388638523</v>
      </c>
      <c r="J29" s="55">
        <f t="shared" ca="1" si="4"/>
        <v>85.648426398667496</v>
      </c>
      <c r="K29" s="55">
        <f t="shared" ca="1" si="4"/>
        <v>82.394692108177395</v>
      </c>
      <c r="L29" s="55">
        <f t="shared" ca="1" si="4"/>
        <v>79.264565305626803</v>
      </c>
      <c r="M29">
        <f t="shared" ca="1" si="5"/>
        <v>76.253350213883778</v>
      </c>
      <c r="N29">
        <f t="shared" ca="1" si="3"/>
        <v>73.356529445679641</v>
      </c>
      <c r="O29">
        <f t="shared" ca="1" si="2"/>
        <v>70.56975722668102</v>
      </c>
      <c r="P29">
        <f t="shared" ca="1" si="1"/>
        <v>67.888852876013516</v>
      </c>
      <c r="Q29">
        <f t="shared" ca="1" si="0"/>
        <v>65.309794534456429</v>
      </c>
    </row>
    <row r="30" spans="1:19" x14ac:dyDescent="0.25">
      <c r="A30" s="49">
        <v>1</v>
      </c>
      <c r="B30" s="49"/>
      <c r="C30" s="55">
        <f ca="1">IF($A30&lt;C$15,$B$9*OFFSET(C30,0,-1),IF($A30=C$15,$B$8*OFFSET(C30,1,-1),""))</f>
        <v>103.94896104013375</v>
      </c>
      <c r="D30" s="55">
        <f t="shared" ca="1" si="4"/>
        <v>99.999999999999986</v>
      </c>
      <c r="E30" s="55">
        <f t="shared" ca="1" si="4"/>
        <v>96.201057710803752</v>
      </c>
      <c r="F30" s="55">
        <f t="shared" ca="1" si="4"/>
        <v>92.546435046773951</v>
      </c>
      <c r="G30" s="55">
        <f t="shared" ca="1" si="4"/>
        <v>89.030649388638523</v>
      </c>
      <c r="H30" s="55">
        <f t="shared" ca="1" si="4"/>
        <v>85.648426398667496</v>
      </c>
      <c r="I30" s="55">
        <f t="shared" ca="1" si="4"/>
        <v>82.394692108177395</v>
      </c>
      <c r="J30" s="55">
        <f t="shared" ca="1" si="4"/>
        <v>79.264565305626803</v>
      </c>
      <c r="K30" s="55">
        <f t="shared" ca="1" si="4"/>
        <v>76.253350213883778</v>
      </c>
      <c r="L30" s="55">
        <f t="shared" ca="1" si="4"/>
        <v>73.356529445679641</v>
      </c>
      <c r="M30">
        <f t="shared" ca="1" si="5"/>
        <v>70.569757226681034</v>
      </c>
      <c r="N30">
        <f t="shared" ca="1" si="3"/>
        <v>67.888852876013516</v>
      </c>
      <c r="O30">
        <f t="shared" ca="1" si="2"/>
        <v>65.309794534456429</v>
      </c>
      <c r="P30">
        <f t="shared" ca="1" si="1"/>
        <v>62.828713130899793</v>
      </c>
      <c r="Q30">
        <f t="shared" ca="1" si="0"/>
        <v>60.441886578012252</v>
      </c>
    </row>
    <row r="31" spans="1:19" x14ac:dyDescent="0.25">
      <c r="A31" s="49">
        <v>0</v>
      </c>
      <c r="B31" s="55">
        <f>$B$2</f>
        <v>100</v>
      </c>
      <c r="C31" s="55">
        <f ca="1">IF($A31&lt;C$15,$B$9*OFFSET(C31,0,-1),IF($A31=C$15,$B$8*OFFSET(C31,1,-1),""))</f>
        <v>96.201057710803767</v>
      </c>
      <c r="D31" s="55">
        <f t="shared" ca="1" si="4"/>
        <v>92.546435046773965</v>
      </c>
      <c r="E31" s="55">
        <f t="shared" ca="1" si="4"/>
        <v>89.030649388638537</v>
      </c>
      <c r="F31" s="55">
        <f t="shared" ca="1" si="4"/>
        <v>85.64842639866751</v>
      </c>
      <c r="G31" s="55">
        <f t="shared" ca="1" si="4"/>
        <v>82.394692108177409</v>
      </c>
      <c r="H31" s="55">
        <f t="shared" ca="1" si="4"/>
        <v>79.264565305626817</v>
      </c>
      <c r="I31" s="55">
        <f t="shared" ca="1" si="4"/>
        <v>76.253350213883792</v>
      </c>
      <c r="J31" s="55">
        <f t="shared" ca="1" si="4"/>
        <v>73.356529445679655</v>
      </c>
      <c r="K31" s="55">
        <f t="shared" ca="1" si="4"/>
        <v>70.569757226681034</v>
      </c>
      <c r="L31" s="55">
        <f t="shared" ca="1" si="4"/>
        <v>67.88885287601353</v>
      </c>
      <c r="M31" s="62">
        <f ca="1">L31*$B$9</f>
        <v>65.309794534456429</v>
      </c>
      <c r="N31" s="62">
        <f ca="1">M31*$B$9</f>
        <v>62.828713130899793</v>
      </c>
      <c r="O31" s="62">
        <f t="shared" ref="O31:Q31" ca="1" si="6">N31*$B$9</f>
        <v>60.441886578012252</v>
      </c>
      <c r="P31" s="62">
        <f t="shared" ca="1" si="6"/>
        <v>58.145734188412121</v>
      </c>
      <c r="Q31" s="62">
        <f t="shared" ca="1" si="6"/>
        <v>55.936811302964898</v>
      </c>
    </row>
    <row r="34" spans="1:17" x14ac:dyDescent="0.25">
      <c r="A34" s="60" t="s">
        <v>36</v>
      </c>
    </row>
    <row r="35" spans="1:17" x14ac:dyDescent="0.25">
      <c r="B35" s="54">
        <v>0</v>
      </c>
      <c r="C35" s="63">
        <v>1</v>
      </c>
      <c r="D35" s="54">
        <v>2</v>
      </c>
      <c r="E35" s="63">
        <v>3</v>
      </c>
      <c r="F35" s="54">
        <v>4</v>
      </c>
      <c r="G35" s="63">
        <v>5</v>
      </c>
      <c r="H35" s="54">
        <v>6</v>
      </c>
      <c r="I35" s="63">
        <v>7</v>
      </c>
      <c r="J35" s="54">
        <v>8</v>
      </c>
      <c r="K35" s="63">
        <v>9</v>
      </c>
      <c r="L35" s="49">
        <v>10</v>
      </c>
      <c r="M35" s="61">
        <v>11</v>
      </c>
      <c r="N35" s="61">
        <v>12</v>
      </c>
      <c r="O35" s="61">
        <v>13</v>
      </c>
      <c r="P35" s="61">
        <v>14</v>
      </c>
      <c r="Q35" s="61">
        <v>15</v>
      </c>
    </row>
    <row r="36" spans="1:17" x14ac:dyDescent="0.25">
      <c r="A36">
        <v>15</v>
      </c>
      <c r="C36" s="64"/>
      <c r="E36" s="64"/>
      <c r="G36" s="64"/>
      <c r="I36" s="64"/>
      <c r="K36" s="64"/>
      <c r="Q36">
        <f ca="1">MAX($G$2*(Q16-$G$3),0)</f>
        <v>0</v>
      </c>
    </row>
    <row r="37" spans="1:17" x14ac:dyDescent="0.25">
      <c r="A37">
        <v>14</v>
      </c>
      <c r="C37" s="64"/>
      <c r="E37" s="64"/>
      <c r="G37" s="64"/>
      <c r="I37" s="64"/>
      <c r="K37" s="64"/>
      <c r="P37">
        <f ca="1">MAX($G$2*(P17-$G$3),0) - $B$13 * ($B$10*Q36 + $B$11*Q37)</f>
        <v>0</v>
      </c>
      <c r="Q37">
        <f t="shared" ref="Q37:Q51" ca="1" si="7">MAX($G$2*(Q17-$G$3),0)</f>
        <v>0</v>
      </c>
    </row>
    <row r="38" spans="1:17" x14ac:dyDescent="0.25">
      <c r="A38">
        <v>13</v>
      </c>
      <c r="C38" s="64"/>
      <c r="E38" s="64"/>
      <c r="G38" s="64"/>
      <c r="I38" s="64"/>
      <c r="K38" s="64"/>
      <c r="O38">
        <f ca="1">MAX($G$2*(O18-$G$3),0) - $B$13 * ($B$10*P37 + $B$11*P38)</f>
        <v>0</v>
      </c>
      <c r="P38">
        <f t="shared" ref="P38:P51" ca="1" si="8">MAX($G$2*(P18-$G$3),0) - $B$13 * ($B$10*Q37 + $B$11*Q38)</f>
        <v>0</v>
      </c>
      <c r="Q38">
        <f t="shared" ca="1" si="7"/>
        <v>0</v>
      </c>
    </row>
    <row r="39" spans="1:17" x14ac:dyDescent="0.25">
      <c r="A39">
        <v>12</v>
      </c>
      <c r="C39" s="64"/>
      <c r="E39" s="64"/>
      <c r="G39" s="64"/>
      <c r="I39" s="64"/>
      <c r="K39" s="64"/>
      <c r="N39">
        <f ca="1">MAX($G$2*(N19-$G$3),0) - $B$13 * ($B$10*O38 + $B$11*Q39)</f>
        <v>0</v>
      </c>
      <c r="O39">
        <f t="shared" ref="O39:O51" ca="1" si="9">MAX($G$2*(O19-$G$3),0) - $B$13 * ($B$10*P38 + $B$11*P39)</f>
        <v>0</v>
      </c>
      <c r="P39">
        <f t="shared" ca="1" si="8"/>
        <v>0</v>
      </c>
      <c r="Q39">
        <f t="shared" ca="1" si="7"/>
        <v>0</v>
      </c>
    </row>
    <row r="40" spans="1:17" x14ac:dyDescent="0.25">
      <c r="A40">
        <v>11</v>
      </c>
      <c r="C40" s="64"/>
      <c r="E40" s="64"/>
      <c r="G40" s="64"/>
      <c r="I40" s="64"/>
      <c r="K40" s="64"/>
      <c r="M40">
        <f ca="1">MAX($G$2*(M20-$G$3),0) - $B$13 * ($B$10*N39 + $B$11*N40)</f>
        <v>0</v>
      </c>
      <c r="N40">
        <f t="shared" ref="N40:N51" ca="1" si="10">MAX($G$2*(N20-$G$3),0) - $B$13 * ($B$10*O39 + $B$11*Q40)</f>
        <v>0</v>
      </c>
      <c r="O40">
        <f t="shared" ca="1" si="9"/>
        <v>0</v>
      </c>
      <c r="P40">
        <f t="shared" ca="1" si="8"/>
        <v>0</v>
      </c>
      <c r="Q40">
        <f t="shared" ca="1" si="7"/>
        <v>0</v>
      </c>
    </row>
    <row r="41" spans="1:17" x14ac:dyDescent="0.25">
      <c r="A41" s="49">
        <v>10</v>
      </c>
      <c r="C41" s="64"/>
      <c r="E41" s="64"/>
      <c r="G41" s="64"/>
      <c r="I41" s="64"/>
      <c r="K41" s="64"/>
      <c r="L41">
        <f ca="1">MAX($G$2*(L21-$G$3),0) - $B$13 * ($B$10*M40 + $B$11*M41)</f>
        <v>0</v>
      </c>
      <c r="M41">
        <f t="shared" ref="M41:M51" ca="1" si="11">MAX($G$2*(M21-$G$3),0) - $B$13 * ($B$10*N40 + $B$11*N41)</f>
        <v>0</v>
      </c>
      <c r="N41">
        <f t="shared" ca="1" si="10"/>
        <v>0</v>
      </c>
      <c r="O41">
        <f t="shared" ca="1" si="9"/>
        <v>0</v>
      </c>
      <c r="P41">
        <f t="shared" ca="1" si="8"/>
        <v>0</v>
      </c>
      <c r="Q41">
        <f t="shared" ca="1" si="7"/>
        <v>0</v>
      </c>
    </row>
    <row r="42" spans="1:17" x14ac:dyDescent="0.25">
      <c r="A42" s="49">
        <v>9</v>
      </c>
      <c r="C42" s="64"/>
      <c r="E42" s="64"/>
      <c r="G42" s="64"/>
      <c r="I42" s="64"/>
      <c r="K42" s="64">
        <f ca="1">MAX($G$2*(K22-$G$3),0) - $B$13 * ($B$10*L41 + $B$11*L42)</f>
        <v>0</v>
      </c>
      <c r="L42">
        <f t="shared" ref="L42:L51" ca="1" si="12">MAX($G$2*(L22-$G$3),0) - $B$13 * ($B$10*M41 + $B$11*M42)</f>
        <v>0</v>
      </c>
      <c r="M42">
        <f t="shared" ca="1" si="11"/>
        <v>0</v>
      </c>
      <c r="N42">
        <f t="shared" ca="1" si="10"/>
        <v>0</v>
      </c>
      <c r="O42">
        <f t="shared" ca="1" si="9"/>
        <v>0</v>
      </c>
      <c r="P42">
        <f t="shared" ca="1" si="8"/>
        <v>0</v>
      </c>
      <c r="Q42">
        <f t="shared" ca="1" si="7"/>
        <v>0</v>
      </c>
    </row>
    <row r="43" spans="1:17" x14ac:dyDescent="0.25">
      <c r="A43" s="49">
        <v>8</v>
      </c>
      <c r="C43" s="64"/>
      <c r="E43" s="64"/>
      <c r="G43" s="64"/>
      <c r="I43" s="64"/>
      <c r="J43">
        <f ca="1">MAX($G$2*(J23-$G$3),0) - $B$13 * ($B$10*K42 + $B$11*K43)</f>
        <v>-0.20342976643316818</v>
      </c>
      <c r="K43" s="64">
        <f t="shared" ref="K43:K51" ca="1" si="13">MAX($G$2*(K23-$G$3),0) - $B$13 * ($B$10*L42 + $B$11*L43)</f>
        <v>0.40095680640841763</v>
      </c>
      <c r="L43">
        <f t="shared" ca="1" si="12"/>
        <v>-0.79027943365433251</v>
      </c>
      <c r="M43">
        <f t="shared" ca="1" si="11"/>
        <v>1.5576280868040679</v>
      </c>
      <c r="N43">
        <f t="shared" ca="1" si="10"/>
        <v>-3.0700599730678562</v>
      </c>
      <c r="O43">
        <f t="shared" ca="1" si="9"/>
        <v>0.57023548122182666</v>
      </c>
      <c r="P43">
        <f t="shared" ca="1" si="8"/>
        <v>-1.1239249863002954</v>
      </c>
      <c r="Q43">
        <f t="shared" ca="1" si="7"/>
        <v>6.0510389598662897</v>
      </c>
    </row>
    <row r="44" spans="1:17" x14ac:dyDescent="0.25">
      <c r="A44" s="49">
        <v>7</v>
      </c>
      <c r="C44" s="64"/>
      <c r="E44" s="64"/>
      <c r="G44" s="64"/>
      <c r="I44" s="64">
        <f ca="1">MAX($G$2*(I24-$G$3),0) - $B$13 * ($B$10*J43 + $B$11*J44)</f>
        <v>0.68012709864746368</v>
      </c>
      <c r="J44">
        <f t="shared" ref="J44:J51" ca="1" si="14">MAX($G$2*(J24-$G$3),0) - $B$13 * ($B$10*K43 + $B$11*K44)</f>
        <v>-1.1431261914876223</v>
      </c>
      <c r="K44" s="64">
        <f t="shared" ca="1" si="13"/>
        <v>1.8640241417859702</v>
      </c>
      <c r="L44">
        <f t="shared" ca="1" si="12"/>
        <v>-2.9071321522035221</v>
      </c>
      <c r="M44">
        <f t="shared" ca="1" si="11"/>
        <v>4.218502135000084</v>
      </c>
      <c r="N44">
        <f t="shared" ca="1" si="10"/>
        <v>-5.3356377288489902</v>
      </c>
      <c r="O44">
        <f t="shared" ca="1" si="9"/>
        <v>6.5942090652627225</v>
      </c>
      <c r="P44">
        <f t="shared" ca="1" si="8"/>
        <v>1.999527837956272E-2</v>
      </c>
      <c r="Q44">
        <f t="shared" ca="1" si="7"/>
        <v>13.798942289196305</v>
      </c>
    </row>
    <row r="45" spans="1:17" x14ac:dyDescent="0.25">
      <c r="A45" s="49">
        <v>6</v>
      </c>
      <c r="C45" s="64"/>
      <c r="E45" s="64"/>
      <c r="G45" s="64"/>
      <c r="H45">
        <f ca="1">MAX($G$2*(H25-$G$3),0) - $B$13 * ($B$10*I44 + $B$11*I45)</f>
        <v>-1.4101664358013557</v>
      </c>
      <c r="I45" s="64">
        <f t="shared" ref="I45:I51" ca="1" si="15">MAX($G$2*(I25-$G$3),0) - $B$13 * ($B$10*J44 + $B$11*J45)</f>
        <v>2.1194696869669558</v>
      </c>
      <c r="J45">
        <f t="shared" ca="1" si="14"/>
        <v>-3.0682344621200057</v>
      </c>
      <c r="K45" s="64">
        <f t="shared" ca="1" si="13"/>
        <v>4.2387278161487965</v>
      </c>
      <c r="L45">
        <f t="shared" ca="1" si="12"/>
        <v>-5.5335954976053552</v>
      </c>
      <c r="M45">
        <f t="shared" ca="1" si="11"/>
        <v>10.649101969493318</v>
      </c>
      <c r="N45">
        <f t="shared" ca="1" si="10"/>
        <v>-3.8853946900265139</v>
      </c>
      <c r="O45">
        <f t="shared" ca="1" si="9"/>
        <v>13.778323452871328</v>
      </c>
      <c r="P45">
        <f t="shared" ca="1" si="8"/>
        <v>2.1237435689137385E-2</v>
      </c>
      <c r="Q45">
        <f t="shared" ca="1" si="7"/>
        <v>20.96935061136152</v>
      </c>
    </row>
    <row r="46" spans="1:17" x14ac:dyDescent="0.25">
      <c r="A46" s="49">
        <v>5</v>
      </c>
      <c r="C46" s="64"/>
      <c r="E46" s="64"/>
      <c r="G46" s="64">
        <f ca="1">MAX($G$2*(G26-$G$3),0) - $B$13 * ($B$10*H45 + $B$11*H46)</f>
        <v>2.3492116794427753</v>
      </c>
      <c r="H46">
        <f t="shared" ref="H46:H51" ca="1" si="16">MAX($G$2*(H26-$G$3),0) - $B$13 * ($B$10*I45 + $B$11*I46)</f>
        <v>-3.2619358651403463</v>
      </c>
      <c r="I46" s="64">
        <f ca="1">MAX($G$2*(I26-$G$3),0) - $B$13 * ($B$10*J45 + $B$11*J46)</f>
        <v>4.3726444459626865</v>
      </c>
      <c r="J46">
        <f t="shared" ca="1" si="14"/>
        <v>-5.6412210938446528</v>
      </c>
      <c r="K46" s="64">
        <f t="shared" ca="1" si="13"/>
        <v>10.841604767247208</v>
      </c>
      <c r="L46">
        <f t="shared" ca="1" si="12"/>
        <v>-4.0727308339624049</v>
      </c>
      <c r="M46">
        <f t="shared" ca="1" si="11"/>
        <v>17.404014779803056</v>
      </c>
      <c r="N46">
        <f t="shared" ca="1" si="10"/>
        <v>-3.335436389774685</v>
      </c>
      <c r="O46">
        <f t="shared" ca="1" si="9"/>
        <v>20.947537005711158</v>
      </c>
      <c r="P46">
        <f t="shared" ca="1" si="8"/>
        <v>2.2387007996798047E-2</v>
      </c>
      <c r="Q46">
        <f t="shared" ca="1" si="7"/>
        <v>27.605307891822619</v>
      </c>
    </row>
    <row r="47" spans="1:17" x14ac:dyDescent="0.25">
      <c r="A47" s="49">
        <v>4</v>
      </c>
      <c r="C47" s="64"/>
      <c r="E47" s="64"/>
      <c r="F47">
        <f ca="1">MAX($G$2*(F27-$G$3),0) - $B$13 * ($B$10*G46 + $B$11*G47)</f>
        <v>-3.4574562557168496</v>
      </c>
      <c r="G47" s="64">
        <f t="shared" ref="G47:G51" ca="1" si="17">MAX($G$2*(G27-$G$3),0) - $B$13 * ($B$10*H46 + $B$11*H47)</f>
        <v>4.5350871241529775</v>
      </c>
      <c r="H47">
        <f t="shared" ca="1" si="16"/>
        <v>-5.7734392912266781</v>
      </c>
      <c r="I47" s="64">
        <f t="shared" ca="1" si="15"/>
        <v>10.972261781830179</v>
      </c>
      <c r="J47">
        <f t="shared" ca="1" si="14"/>
        <v>-4.2258216839661173</v>
      </c>
      <c r="K47" s="64">
        <f t="shared" ca="1" si="13"/>
        <v>17.518963712983467</v>
      </c>
      <c r="L47">
        <f t="shared" ca="1" si="12"/>
        <v>-3.3802215608139328</v>
      </c>
      <c r="M47">
        <f t="shared" ca="1" si="11"/>
        <v>24.175472289909912</v>
      </c>
      <c r="N47">
        <f t="shared" ca="1" si="10"/>
        <v>-3.0827501669808903</v>
      </c>
      <c r="O47">
        <f t="shared" ca="1" si="9"/>
        <v>27.582388569754567</v>
      </c>
      <c r="P47">
        <f t="shared" ca="1" si="8"/>
        <v>2.3450896185817527E-2</v>
      </c>
      <c r="Q47">
        <f t="shared" ca="1" si="7"/>
        <v>33.746649786116237</v>
      </c>
    </row>
    <row r="48" spans="1:17" x14ac:dyDescent="0.25">
      <c r="A48" s="49">
        <v>3</v>
      </c>
      <c r="C48" s="64"/>
      <c r="E48" s="64">
        <f ca="1">MAX($G$2*(E28-$G$3),0) - $B$13 * ($B$10*F47 + $B$11*F48)</f>
        <v>4.7041438734088468</v>
      </c>
      <c r="F48">
        <f t="shared" ref="F48:F51" ca="1" si="18">MAX($G$2*(F28-$G$3),0) - $B$13 * ($B$10*G47 + $B$11*G48)</f>
        <v>-5.9169287037095915</v>
      </c>
      <c r="G48" s="64">
        <f t="shared" ca="1" si="17"/>
        <v>11.097454583527545</v>
      </c>
      <c r="H48">
        <f t="shared" ca="1" si="16"/>
        <v>-4.3442797913210942</v>
      </c>
      <c r="I48" s="64">
        <f t="shared" ca="1" si="15"/>
        <v>17.625662703758319</v>
      </c>
      <c r="J48">
        <f t="shared" ca="1" si="14"/>
        <v>-3.4419753635611023</v>
      </c>
      <c r="K48" s="64">
        <f t="shared" ca="1" si="13"/>
        <v>24.185649982562325</v>
      </c>
      <c r="L48">
        <f t="shared" ca="1" si="12"/>
        <v>-3.0593539719752485</v>
      </c>
      <c r="M48">
        <f t="shared" ca="1" si="11"/>
        <v>30.568383262447753</v>
      </c>
      <c r="N48">
        <f t="shared" ca="1" si="10"/>
        <v>-2.8488980759308973</v>
      </c>
      <c r="O48">
        <f t="shared" ca="1" si="9"/>
        <v>33.722707162921864</v>
      </c>
      <c r="P48">
        <f t="shared" ca="1" si="8"/>
        <v>2.4435486777662163E-2</v>
      </c>
      <c r="Q48">
        <f t="shared" ca="1" si="7"/>
        <v>39.43024277331898</v>
      </c>
    </row>
    <row r="49" spans="1:17" x14ac:dyDescent="0.25">
      <c r="A49" s="49">
        <v>2</v>
      </c>
      <c r="C49" s="64"/>
      <c r="D49">
        <f ca="1">MAX($G$2*(D29-$G$3),0) - $B$13 * ($B$10*E48 + $B$11*E49)</f>
        <v>-6.0638598501649135</v>
      </c>
      <c r="E49" s="64">
        <f t="shared" ref="E49:E51" ca="1" si="19">MAX($G$2*(E29-$G$3),0) - $B$13 * ($B$10*F48 + $B$11*F49)</f>
        <v>11.22301317545271</v>
      </c>
      <c r="F49">
        <f t="shared" ca="1" si="18"/>
        <v>-4.4525221001807953</v>
      </c>
      <c r="G49" s="64">
        <f t="shared" ca="1" si="17"/>
        <v>17.717528593271037</v>
      </c>
      <c r="H49">
        <f t="shared" ca="1" si="16"/>
        <v>-3.5080984494901628</v>
      </c>
      <c r="I49" s="64">
        <f t="shared" ca="1" si="15"/>
        <v>24.212444604751372</v>
      </c>
      <c r="J49">
        <f t="shared" ca="1" si="14"/>
        <v>-3.0522443557820367</v>
      </c>
      <c r="K49" s="64">
        <f t="shared" ca="1" si="13"/>
        <v>30.544494632247723</v>
      </c>
      <c r="L49">
        <f t="shared" ca="1" si="12"/>
        <v>-2.8245159304428853</v>
      </c>
      <c r="M49">
        <f t="shared" ca="1" si="11"/>
        <v>36.484794463245549</v>
      </c>
      <c r="N49">
        <f t="shared" ca="1" si="10"/>
        <v>-2.6324763023817752</v>
      </c>
      <c r="O49">
        <f t="shared" ca="1" si="9"/>
        <v>39.405353121412425</v>
      </c>
      <c r="P49">
        <f t="shared" ca="1" si="8"/>
        <v>2.5346690270204419E-2</v>
      </c>
      <c r="Q49">
        <f t="shared" ca="1" si="7"/>
        <v>44.690205465543571</v>
      </c>
    </row>
    <row r="50" spans="1:17" x14ac:dyDescent="0.25">
      <c r="A50" s="49">
        <v>1</v>
      </c>
      <c r="C50" s="64">
        <f ca="1">MAX($G$2*(C30-$G$3),0) - $B$13 * ($B$10*D49 + $B$11*D50)</f>
        <v>11.348663683745283</v>
      </c>
      <c r="D50">
        <f t="shared" ref="D50:D51" ca="1" si="20">MAX($G$2*(D30-$G$3),0) - $B$13 * ($B$10*E49 + $B$11*E50)</f>
        <v>-4.5576059670721047</v>
      </c>
      <c r="E50" s="64">
        <f t="shared" ca="1" si="19"/>
        <v>17.802814308167498</v>
      </c>
      <c r="F50">
        <f t="shared" ca="1" si="18"/>
        <v>-3.5711647826637041</v>
      </c>
      <c r="G50" s="64">
        <f t="shared" ca="1" si="17"/>
        <v>24.24760737603539</v>
      </c>
      <c r="H50">
        <f t="shared" ca="1" si="16"/>
        <v>-3.0573885934566043</v>
      </c>
      <c r="I50" s="64">
        <f t="shared" ca="1" si="15"/>
        <v>30.528634294843929</v>
      </c>
      <c r="J50">
        <f t="shared" ca="1" si="14"/>
        <v>-2.8001541129131482</v>
      </c>
      <c r="K50" s="64">
        <f t="shared" ca="1" si="13"/>
        <v>36.459957496322289</v>
      </c>
      <c r="L50">
        <f t="shared" ca="1" si="12"/>
        <v>-2.6071816948710165</v>
      </c>
      <c r="M50">
        <f t="shared" ca="1" si="11"/>
        <v>41.96022211229193</v>
      </c>
      <c r="N50">
        <f t="shared" ca="1" si="10"/>
        <v>-2.432185666297066</v>
      </c>
      <c r="O50">
        <f t="shared" ca="1" si="9"/>
        <v>44.66443937232502</v>
      </c>
      <c r="P50">
        <f t="shared" ca="1" si="8"/>
        <v>2.6189976618567812E-2</v>
      </c>
      <c r="Q50">
        <f t="shared" ca="1" si="7"/>
        <v>49.558113421987748</v>
      </c>
    </row>
    <row r="51" spans="1:17" x14ac:dyDescent="0.25">
      <c r="A51" s="49">
        <v>0</v>
      </c>
      <c r="B51">
        <f ca="1">MAX($G$2*(B31-$G$3),0) - $B$13 * ($B$10*C50 + $B$11*C51)</f>
        <v>-4.6614591414404316</v>
      </c>
      <c r="C51" s="64">
        <f ca="1">MAX($G$2*(C31-$G$3),0) - $B$13 * ($B$10*D50 + $B$11*D51)</f>
        <v>17.885585158902938</v>
      </c>
      <c r="D51">
        <f t="shared" ca="1" si="20"/>
        <v>-3.6323390806698477</v>
      </c>
      <c r="E51" s="64">
        <f t="shared" ca="1" si="19"/>
        <v>24.285425897934942</v>
      </c>
      <c r="F51">
        <f t="shared" ca="1" si="18"/>
        <v>-3.0707333229498168</v>
      </c>
      <c r="G51" s="64">
        <f t="shared" ca="1" si="17"/>
        <v>30.520817153645851</v>
      </c>
      <c r="H51">
        <f t="shared" ca="1" si="16"/>
        <v>-2.7797550599175764</v>
      </c>
      <c r="I51" s="64">
        <f t="shared" ca="1" si="15"/>
        <v>36.435141004872548</v>
      </c>
      <c r="J51">
        <f t="shared" ca="1" si="14"/>
        <v>-2.5819077194218849</v>
      </c>
      <c r="K51" s="64">
        <f t="shared" ca="1" si="13"/>
        <v>41.93450749353908</v>
      </c>
      <c r="L51">
        <f t="shared" ca="1" si="12"/>
        <v>-2.4060466077131153</v>
      </c>
      <c r="M51">
        <f t="shared" ca="1" si="11"/>
        <v>47.027535205049773</v>
      </c>
      <c r="N51">
        <f t="shared" ca="1" si="10"/>
        <v>-2.2468238228681727</v>
      </c>
      <c r="O51">
        <f t="shared" ca="1" si="9"/>
        <v>49.531536213579663</v>
      </c>
      <c r="P51">
        <f t="shared" ca="1" si="8"/>
        <v>2.6970408071228746E-2</v>
      </c>
      <c r="Q51">
        <f t="shared" ca="1" si="7"/>
        <v>54.063188697035102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3"/>
  <sheetViews>
    <sheetView topLeftCell="A55" workbookViewId="0">
      <selection activeCell="F2" sqref="F2"/>
    </sheetView>
  </sheetViews>
  <sheetFormatPr baseColWidth="10" defaultRowHeight="15" x14ac:dyDescent="0.25"/>
  <sheetData>
    <row r="1" spans="1:25" ht="15.75" thickBot="1" x14ac:dyDescent="0.3">
      <c r="A1" s="69" t="s">
        <v>0</v>
      </c>
      <c r="B1" s="70"/>
      <c r="C1" s="1"/>
      <c r="D1" s="1"/>
      <c r="E1" s="69" t="s">
        <v>18</v>
      </c>
      <c r="F1" s="70"/>
      <c r="G1" s="1"/>
      <c r="H1" s="1"/>
      <c r="I1" s="69" t="s">
        <v>1</v>
      </c>
      <c r="J1" s="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 x14ac:dyDescent="0.3">
      <c r="A2" s="3" t="s">
        <v>2</v>
      </c>
      <c r="B2" s="4">
        <v>100</v>
      </c>
      <c r="C2" s="1"/>
      <c r="D2" s="1"/>
      <c r="E2" s="39" t="s">
        <v>19</v>
      </c>
      <c r="F2" s="40">
        <v>15</v>
      </c>
      <c r="G2" s="1"/>
      <c r="H2" s="1"/>
      <c r="I2" s="41" t="s">
        <v>20</v>
      </c>
      <c r="J2" s="42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7" t="s">
        <v>4</v>
      </c>
      <c r="B3" s="8">
        <v>0.25</v>
      </c>
      <c r="C3" s="1"/>
      <c r="D3" s="9"/>
      <c r="E3" s="1"/>
      <c r="F3" s="1"/>
      <c r="G3" s="1"/>
      <c r="H3" s="1"/>
      <c r="I3" s="43" t="s">
        <v>3</v>
      </c>
      <c r="J3" s="11">
        <v>110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7" t="s">
        <v>5</v>
      </c>
      <c r="B4" s="10">
        <v>0.3</v>
      </c>
      <c r="C4" s="1"/>
      <c r="D4" s="9"/>
      <c r="E4" s="1"/>
      <c r="F4" s="1"/>
      <c r="G4" s="1"/>
      <c r="H4" s="1"/>
      <c r="I4" s="43" t="s">
        <v>19</v>
      </c>
      <c r="J4" s="11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Bot="1" x14ac:dyDescent="0.3">
      <c r="A5" s="7" t="s">
        <v>6</v>
      </c>
      <c r="B5" s="11">
        <v>15</v>
      </c>
      <c r="C5" s="1"/>
      <c r="D5" s="12"/>
      <c r="E5" s="1"/>
      <c r="F5" s="1"/>
      <c r="G5" s="17"/>
      <c r="H5" s="17"/>
      <c r="I5" s="44" t="s">
        <v>21</v>
      </c>
      <c r="J5" s="45" t="s">
        <v>35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7" t="s">
        <v>22</v>
      </c>
      <c r="B6" s="46">
        <v>0.02</v>
      </c>
      <c r="C6" s="1"/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thickBot="1" x14ac:dyDescent="0.3">
      <c r="A7" s="47" t="s">
        <v>23</v>
      </c>
      <c r="B7" s="48">
        <v>0.01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3" t="s">
        <v>8</v>
      </c>
      <c r="B8" s="14">
        <f>EXP(B4*SQRT(B3/B5))</f>
        <v>1.0394896104013376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5" t="s">
        <v>9</v>
      </c>
      <c r="B9" s="16">
        <f>1/B8</f>
        <v>0.96201057710803761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5" t="s">
        <v>10</v>
      </c>
      <c r="B10" s="18">
        <f>(EXP((B6 - B7) * B3/B5) - B9) / (B8 - B9)</f>
        <v>0.49247005062451049</v>
      </c>
      <c r="C10" s="1"/>
      <c r="D10" s="21"/>
      <c r="E10" s="1"/>
      <c r="F10" s="17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thickBot="1" x14ac:dyDescent="0.3">
      <c r="A11" s="19" t="s">
        <v>11</v>
      </c>
      <c r="B11" s="20">
        <f>1 - B10</f>
        <v>0.50752994937548945</v>
      </c>
      <c r="C11" s="1"/>
      <c r="D11" s="21"/>
      <c r="E11" s="1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 x14ac:dyDescent="0.3">
      <c r="A12" s="15" t="s">
        <v>7</v>
      </c>
      <c r="B12">
        <f>EXP($B$6*$B$3/$B$5)</f>
        <v>1.0003333888950623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 x14ac:dyDescent="0.3">
      <c r="A13" s="22"/>
      <c r="B13" s="73" t="s">
        <v>12</v>
      </c>
      <c r="C13" s="74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147.29958713933712</v>
      </c>
      <c r="M14" s="22"/>
      <c r="N14" s="2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141.70376083168941</v>
      </c>
      <c r="L15" s="31">
        <f>B2 * (B8 ^ (9)) * (B9 ^ (1))</f>
        <v>136.32051673607288</v>
      </c>
      <c r="M15" s="22"/>
      <c r="N15" s="2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136.32051673607288</v>
      </c>
      <c r="K16" s="30">
        <f>B2 * (B8 ^ (8)) * (B9 ^ (1))</f>
        <v>131.14177897693537</v>
      </c>
      <c r="L16" s="31">
        <f>B2 * (B8 ^ (8)) * (B9 ^ (2))</f>
        <v>126.15977847657631</v>
      </c>
      <c r="M16" s="22"/>
      <c r="N16" s="2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131.14177897693537</v>
      </c>
      <c r="J17" s="30">
        <f>B2 * (B8 ^ (7)) * (B9 ^ (1))</f>
        <v>126.15977847657631</v>
      </c>
      <c r="K17" s="30">
        <f>B2 * (B8 ^ (7)) * (B9 ^ (2))</f>
        <v>121.36704130007335</v>
      </c>
      <c r="L17" s="31">
        <f>B2 * (B8 ^ (7)) * (B9 ^ (3))</f>
        <v>116.7563774429786</v>
      </c>
      <c r="M17" s="22"/>
      <c r="N17" s="2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2"/>
      <c r="B18" s="29"/>
      <c r="C18" s="30"/>
      <c r="D18" s="30"/>
      <c r="E18" s="30"/>
      <c r="F18" s="30"/>
      <c r="G18" s="30"/>
      <c r="H18" s="30">
        <f>B2 * (B8 ^ (6)) * (B9 ^ (0))</f>
        <v>126.15977847657631</v>
      </c>
      <c r="I18" s="30">
        <f>B2 * (B8 ^ (6)) * (B9 ^ (1))</f>
        <v>121.36704130007335</v>
      </c>
      <c r="J18" s="30">
        <f>B2 * (B8 ^ (6)) * (B9 ^ (2))</f>
        <v>116.7563774429786</v>
      </c>
      <c r="K18" s="30">
        <f>B2 * (B8 ^ (6)) * (B9 ^ (3))</f>
        <v>112.3208700449637</v>
      </c>
      <c r="L18" s="31">
        <f>B2 * (B8 ^ (6)) * (B9 ^ (4))</f>
        <v>108.05386501323244</v>
      </c>
      <c r="M18" s="22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22"/>
      <c r="B19" s="29"/>
      <c r="C19" s="30"/>
      <c r="D19" s="30"/>
      <c r="E19" s="30"/>
      <c r="F19" s="30"/>
      <c r="G19" s="30">
        <f>B2 * (B8 ^ (5)) * (B9 ^ (0))</f>
        <v>121.36704130007337</v>
      </c>
      <c r="H19" s="30">
        <f>B2 * (B8 ^ (5)) * (B9 ^ (1))</f>
        <v>116.75637744297862</v>
      </c>
      <c r="I19" s="30">
        <f>B2 * (B8 ^ (5)) * (B9 ^ (2))</f>
        <v>112.32087004496373</v>
      </c>
      <c r="J19" s="30">
        <f>B2 * (B8 ^ (5)) * (B9 ^ (3))</f>
        <v>108.05386501323244</v>
      </c>
      <c r="K19" s="30">
        <f>B2 * (B8 ^ (5)) * (B9 ^ (4))</f>
        <v>103.94896104013374</v>
      </c>
      <c r="L19" s="31">
        <f>B2 * (B8 ^ (5)) * (B9 ^ (5))</f>
        <v>99.999999999999972</v>
      </c>
      <c r="M19" s="22"/>
      <c r="N19" s="2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22"/>
      <c r="B20" s="29"/>
      <c r="C20" s="30"/>
      <c r="D20" s="30"/>
      <c r="E20" s="30"/>
      <c r="F20" s="30">
        <f>B2 * (B8 ^ (4)) * (B9 ^ (0))</f>
        <v>116.75637744297862</v>
      </c>
      <c r="G20" s="30">
        <f>B2 * (B8 ^ (4)) * (B9 ^ (1))</f>
        <v>112.32087004496373</v>
      </c>
      <c r="H20" s="30">
        <f>B2 * (B8 ^ (4)) * (B9 ^ (2))</f>
        <v>108.05386501323244</v>
      </c>
      <c r="I20" s="30">
        <f>B2 * (B8 ^ (4)) * (B9 ^ (3))</f>
        <v>103.94896104013374</v>
      </c>
      <c r="J20" s="30">
        <f>B2 * (B8 ^ (4)) * (B9 ^ (4))</f>
        <v>99.999999999999972</v>
      </c>
      <c r="K20" s="30">
        <f>B2 * (B8 ^ (4)) * (B9 ^ (5))</f>
        <v>96.201057710803738</v>
      </c>
      <c r="L20" s="31">
        <f>B2 * (B8 ^ (4)) * (B9 ^ (6))</f>
        <v>92.546435046773937</v>
      </c>
      <c r="M20" s="22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22"/>
      <c r="B21" s="29"/>
      <c r="C21" s="30"/>
      <c r="D21" s="30"/>
      <c r="E21" s="30">
        <f>B2 * (B8 ^ (3)) * (B9 ^ (0))</f>
        <v>112.32087004496374</v>
      </c>
      <c r="F21" s="30">
        <f>B2 * (B8 ^ (3)) * (B9 ^ (1))</f>
        <v>108.05386501323247</v>
      </c>
      <c r="G21" s="30">
        <f>B2 * (B8 ^ (3)) * (B9 ^ (2))</f>
        <v>103.94896104013375</v>
      </c>
      <c r="H21" s="30">
        <f>B2 * (B8 ^ (3)) * (B9 ^ (3))</f>
        <v>99.999999999999986</v>
      </c>
      <c r="I21" s="30">
        <f>B2 * (B8 ^ (3)) * (B9 ^ (4))</f>
        <v>96.201057710803752</v>
      </c>
      <c r="J21" s="30">
        <f>B2 * (B8 ^ (3)) * (B9 ^ (5))</f>
        <v>92.546435046773951</v>
      </c>
      <c r="K21" s="30">
        <f>B2 * (B8 ^ (3)) * (B9 ^ (6))</f>
        <v>89.030649388638523</v>
      </c>
      <c r="L21" s="31">
        <f>B2 * (B8 ^ (3)) * (B9 ^ (7))</f>
        <v>85.648426398667496</v>
      </c>
      <c r="M21" s="22"/>
      <c r="N21" s="2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22"/>
      <c r="B22" s="29"/>
      <c r="C22" s="30"/>
      <c r="D22" s="30">
        <f>B2 * (B8 ^ (2)) * (B9 ^ (0))</f>
        <v>108.05386501323247</v>
      </c>
      <c r="E22" s="30">
        <f>B2 * (B8 ^ (2)) * (B9 ^ (1))</f>
        <v>103.94896104013377</v>
      </c>
      <c r="F22" s="30">
        <f>B2 * (B8 ^ (2)) * (B9 ^ (2))</f>
        <v>100</v>
      </c>
      <c r="G22" s="30">
        <f>B2 * (B8 ^ (2)) * (B9 ^ (3))</f>
        <v>96.201057710803752</v>
      </c>
      <c r="H22" s="30">
        <f>B2 * (B8 ^ (2)) * (B9 ^ (4))</f>
        <v>92.546435046773951</v>
      </c>
      <c r="I22" s="30">
        <f>B2 * (B8 ^ (2)) * (B9 ^ (5))</f>
        <v>89.030649388638523</v>
      </c>
      <c r="J22" s="30">
        <f>B2 * (B8 ^ (2)) * (B9 ^ (6))</f>
        <v>85.648426398667496</v>
      </c>
      <c r="K22" s="30">
        <f>B2 * (B8 ^ (2)) * (B9 ^ (7))</f>
        <v>82.394692108177409</v>
      </c>
      <c r="L22" s="31">
        <f>B2 * (B8 ^ (2)) * (B9 ^ (8))</f>
        <v>79.264565305626817</v>
      </c>
      <c r="M22" s="22"/>
      <c r="N22" s="2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22"/>
      <c r="B23" s="29"/>
      <c r="C23" s="30">
        <f>B2 * (B8 ^ (1)) * (B9 ^ (0))</f>
        <v>103.94896104013375</v>
      </c>
      <c r="D23" s="30">
        <f>B2 * (B8 ^ (1)) * (B9 ^ (1))</f>
        <v>99.999999999999986</v>
      </c>
      <c r="E23" s="30">
        <f>B2 * (B8 ^ (1)) * (B9 ^ (2))</f>
        <v>96.201057710803752</v>
      </c>
      <c r="F23" s="30">
        <f>B2 * (B8 ^ (1)) * (B9 ^ (3))</f>
        <v>92.546435046773937</v>
      </c>
      <c r="G23" s="30">
        <f>B2 * (B8 ^ (1)) * (B9 ^ (4))</f>
        <v>89.030649388638523</v>
      </c>
      <c r="H23" s="30">
        <f>B2 * (B8 ^ (1)) * (B9 ^ (5))</f>
        <v>85.648426398667496</v>
      </c>
      <c r="I23" s="30">
        <f>B2 * (B8 ^ (1)) * (B9 ^ (6))</f>
        <v>82.394692108177395</v>
      </c>
      <c r="J23" s="30">
        <f>B2 * (B8 ^ (1)) * (B9 ^ (7))</f>
        <v>79.264565305626817</v>
      </c>
      <c r="K23" s="30">
        <f>B2 * (B8 ^ (1)) * (B9 ^ (8))</f>
        <v>76.253350213883792</v>
      </c>
      <c r="L23" s="31">
        <f>B2 * (B8 ^ (1)) * (B9 ^ (9))</f>
        <v>73.356529445679655</v>
      </c>
      <c r="M23" s="22"/>
      <c r="N23" s="2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22"/>
      <c r="B24" s="29">
        <f>B2 * (B8 ^ (0)) * (B9 ^ (0))</f>
        <v>100</v>
      </c>
      <c r="C24" s="30">
        <f>B2 * (B8 ^ (0)) * (B9 ^ (1))</f>
        <v>96.201057710803767</v>
      </c>
      <c r="D24" s="30">
        <f>B2 * (B8 ^ (0)) * (B9 ^ (2))</f>
        <v>92.546435046773951</v>
      </c>
      <c r="E24" s="30">
        <f>B2 * (B8 ^ (0)) * (B9 ^ (3))</f>
        <v>89.030649388638523</v>
      </c>
      <c r="F24" s="30">
        <f>B2 * (B8 ^ (0)) * (B9 ^ (4))</f>
        <v>85.64842639866751</v>
      </c>
      <c r="G24" s="30">
        <f>B2 * (B8 ^ (0)) * (B9 ^ (5))</f>
        <v>82.394692108177409</v>
      </c>
      <c r="H24" s="30">
        <f>B2 * (B8 ^ (0)) * (B9 ^ (6))</f>
        <v>79.264565305626817</v>
      </c>
      <c r="I24" s="30">
        <f>B2 * (B8 ^ (0)) * (B9 ^ (7))</f>
        <v>76.253350213883792</v>
      </c>
      <c r="J24" s="30">
        <f>B2 * (B8 ^ (0)) * (B9 ^ (8))</f>
        <v>73.356529445679655</v>
      </c>
      <c r="K24" s="30">
        <f>B2 * (B8 ^ (0)) * (B9 ^ (9))</f>
        <v>70.569757226681034</v>
      </c>
      <c r="L24" s="31">
        <f>B2 * (B8 ^ (0)) * (B9 ^ (10))</f>
        <v>67.88885287601353</v>
      </c>
      <c r="M24" s="22"/>
      <c r="N24" s="2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thickBot="1" x14ac:dyDescent="0.3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24</v>
      </c>
      <c r="G26" s="33" t="s">
        <v>25</v>
      </c>
      <c r="H26" s="33" t="s">
        <v>26</v>
      </c>
      <c r="I26" s="33" t="s">
        <v>27</v>
      </c>
      <c r="J26" s="33" t="s">
        <v>28</v>
      </c>
      <c r="K26" s="33" t="s">
        <v>29</v>
      </c>
      <c r="L26" s="34" t="s">
        <v>30</v>
      </c>
      <c r="M26" s="28"/>
      <c r="N26" s="2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thickBot="1" x14ac:dyDescent="0.3">
      <c r="A29" s="22"/>
      <c r="B29" s="73" t="s">
        <v>31</v>
      </c>
      <c r="C29" s="74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147.29958713933712</v>
      </c>
      <c r="M30" s="22"/>
      <c r="N30" s="2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141.72738009337849</v>
      </c>
      <c r="L31" s="31">
        <f>$L$15</f>
        <v>136.32051673607288</v>
      </c>
      <c r="M31" s="22"/>
      <c r="N31" s="2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136.3659644825218</v>
      </c>
      <c r="K32" s="30">
        <f>($B$10 *$L$31 + $B$11 *$L$32)</f>
        <v>131.16363776161296</v>
      </c>
      <c r="L32" s="31">
        <f>$L$16</f>
        <v>126.15977847657631</v>
      </c>
      <c r="M32" s="22"/>
      <c r="N32" s="2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131.20736626187863</v>
      </c>
      <c r="J33" s="30">
        <f>($B$10 *$K$32 + $B$11 *$K$33)</f>
        <v>126.20183874572389</v>
      </c>
      <c r="K33" s="30">
        <f>($B$10 *$L$32 + $B$11 *$L$33)</f>
        <v>121.38727082603702</v>
      </c>
      <c r="L33" s="31">
        <f>$L$17</f>
        <v>116.7563774429786</v>
      </c>
      <c r="M33" s="22"/>
      <c r="N33" s="2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22"/>
      <c r="B34" s="29"/>
      <c r="C34" s="30"/>
      <c r="D34" s="30"/>
      <c r="E34" s="30"/>
      <c r="F34" s="30"/>
      <c r="G34" s="30"/>
      <c r="H34" s="30">
        <f>($B$10 *$I$33 + $B$11 *$I$34)</f>
        <v>126.24391303729814</v>
      </c>
      <c r="I34" s="30">
        <f>($B$10 *$J$33 + $B$11 *$J$34)</f>
        <v>121.42773999413234</v>
      </c>
      <c r="J34" s="30">
        <f>($B$10 *$K$33 + $B$11 *$K$34)</f>
        <v>116.79530272264577</v>
      </c>
      <c r="K34" s="30">
        <f>($B$10 *$L$33 + $B$11 *$L$34)</f>
        <v>112.33959175006996</v>
      </c>
      <c r="L34" s="31">
        <f>$L$18</f>
        <v>108.05386501323244</v>
      </c>
      <c r="M34" s="22"/>
      <c r="N34" s="2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22"/>
      <c r="B35" s="29"/>
      <c r="C35" s="30"/>
      <c r="D35" s="30"/>
      <c r="E35" s="30"/>
      <c r="F35" s="30"/>
      <c r="G35" s="30">
        <f>($B$10 *$H$34 + $B$11 *$H$35)</f>
        <v>121.46822265419888</v>
      </c>
      <c r="H35" s="30">
        <f>($B$10 *$I$34 + $B$11 *$I$35)</f>
        <v>116.83424097956893</v>
      </c>
      <c r="I35" s="30">
        <f>($B$10 *$J$34 + $B$11 *$J$35)</f>
        <v>112.37704452243526</v>
      </c>
      <c r="J35" s="30">
        <f>($B$10 *$K$34 + $B$11 *$K$35)</f>
        <v>108.0898889718964</v>
      </c>
      <c r="K35" s="30">
        <f>($B$10 *$L$34 + $B$11 *$L$35)</f>
        <v>103.96628731078954</v>
      </c>
      <c r="L35" s="31">
        <f>$L$19</f>
        <v>99.999999999999972</v>
      </c>
      <c r="M35" s="22"/>
      <c r="N35" s="2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22"/>
      <c r="B36" s="29"/>
      <c r="C36" s="30"/>
      <c r="D36" s="30"/>
      <c r="E36" s="30"/>
      <c r="F36" s="30">
        <f>($B$10 *$G$35 + $B$11 *$G$36)</f>
        <v>116.87319221807455</v>
      </c>
      <c r="G36" s="30">
        <f>($B$10 *$H$35 + $B$11 *$H$36)</f>
        <v>112.41450978113895</v>
      </c>
      <c r="H36" s="30">
        <f>($B$10 *$I$35 + $B$11 *$I$36)</f>
        <v>108.12592494054813</v>
      </c>
      <c r="I36" s="30">
        <f>($B$10 *$J$35 + $B$11 *$J$36)</f>
        <v>104.00094851643979</v>
      </c>
      <c r="J36" s="30">
        <f>($B$10 *$K$35 + $B$11 *$K$36)</f>
        <v>100.03333888950618</v>
      </c>
      <c r="K36" s="30">
        <f>($B$10 *$L$35 + $B$11 *$L$36)</f>
        <v>96.217092556622234</v>
      </c>
      <c r="L36" s="31">
        <f>$L$20</f>
        <v>92.546435046773937</v>
      </c>
      <c r="M36" s="22"/>
      <c r="N36" s="2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22"/>
      <c r="B37" s="29"/>
      <c r="C37" s="30"/>
      <c r="D37" s="30"/>
      <c r="E37" s="30">
        <f>($B$10 *$F$36 + $B$11 *$F$37)</f>
        <v>112.45198753034384</v>
      </c>
      <c r="F37" s="30">
        <f>($B$10 *$G$36 + $B$11 *$G$37)</f>
        <v>108.16197292319164</v>
      </c>
      <c r="G37" s="30">
        <f>($B$10 *$H$36 + $B$11 *$H$37)</f>
        <v>104.0356212777511</v>
      </c>
      <c r="H37" s="30">
        <f>($B$10 *$I$36 + $B$11 *$I$37)</f>
        <v>100.06668889382794</v>
      </c>
      <c r="I37" s="30">
        <f>($B$10 *$J$36 + $B$11 *$J$37)</f>
        <v>96.249170266795772</v>
      </c>
      <c r="J37" s="30">
        <f>($B$10 *$K$36 + $B$11 *$K$37)</f>
        <v>92.577289000496123</v>
      </c>
      <c r="K37" s="30">
        <f>($B$10 *$L$36 + $B$11 *$L$37)</f>
        <v>89.045489066808784</v>
      </c>
      <c r="L37" s="31">
        <f>$L$21</f>
        <v>85.648426398667496</v>
      </c>
      <c r="M37" s="22"/>
      <c r="N37" s="2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22"/>
      <c r="B38" s="29"/>
      <c r="C38" s="30"/>
      <c r="D38" s="30">
        <f>($B$10 *$E$37 + $B$11 *$E$38)</f>
        <v>108.19803292383224</v>
      </c>
      <c r="E38" s="30">
        <f>($B$10 *$F$37 + $B$11 *$F$38)</f>
        <v>104.070305598576</v>
      </c>
      <c r="F38" s="30">
        <f>($B$10 *$G$37 + $B$11 *$G$38)</f>
        <v>100.10005001667079</v>
      </c>
      <c r="G38" s="30">
        <f>($B$10 *$H$37 + $B$11 *$H$38)</f>
        <v>96.28125867132168</v>
      </c>
      <c r="H38" s="30">
        <f>($B$10 *$I$37 + $B$11 *$I$38)</f>
        <v>92.608153240583846</v>
      </c>
      <c r="I38" s="30">
        <f>($B$10 *$J$37 + $B$11 *$J$38)</f>
        <v>89.075175844019043</v>
      </c>
      <c r="J38" s="30">
        <f>($B$10 *$K$37 + $B$11 *$K$38)</f>
        <v>85.676980632908368</v>
      </c>
      <c r="K38" s="30">
        <f>($B$10 *$L$37 + $B$11 *$L$38)</f>
        <v>82.408425701296409</v>
      </c>
      <c r="L38" s="31">
        <f>$L$22</f>
        <v>79.264565305626817</v>
      </c>
      <c r="M38" s="22"/>
      <c r="N38" s="2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22"/>
      <c r="B39" s="29"/>
      <c r="C39" s="30">
        <f>($B$10 *$D$38 + $B$11 *$D$39)</f>
        <v>104.1050014827683</v>
      </c>
      <c r="D39" s="30">
        <f>($B$10 *$E$38 + $B$11 *$E$39)</f>
        <v>100.13342226174152</v>
      </c>
      <c r="E39" s="30">
        <f>($B$10 *$F$38 + $B$11 *$F$39)</f>
        <v>96.313357773765318</v>
      </c>
      <c r="F39" s="30">
        <f>($B$10 *$G$38 + $B$11 *$G$39)</f>
        <v>92.63902777046647</v>
      </c>
      <c r="G39" s="30">
        <f>($B$10 *$H$38 + $B$11 *$H$39)</f>
        <v>89.10487251847114</v>
      </c>
      <c r="H39" s="30">
        <f>($B$10 *$I$38 + $B$11 *$I$39)</f>
        <v>85.705544386813841</v>
      </c>
      <c r="I39" s="30">
        <f>($B$10 *$J$38 + $B$11 *$J$39)</f>
        <v>82.435899755284765</v>
      </c>
      <c r="J39" s="30">
        <f>($B$10 *$K$38 + $B$11 *$K$39)</f>
        <v>79.290991231471651</v>
      </c>
      <c r="K39" s="30">
        <f>($B$10 *$L$38 + $B$11 *$L$39)</f>
        <v>76.266060164719249</v>
      </c>
      <c r="L39" s="31">
        <f>$L$23</f>
        <v>73.356529445679655</v>
      </c>
      <c r="M39" s="22"/>
      <c r="N39" s="2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22"/>
      <c r="B40" s="35">
        <f>($B$10 *$C$39 + $B$11 *$C$40)</f>
        <v>100.16680563274815</v>
      </c>
      <c r="C40" s="30">
        <f>($B$10 *$D$39 + $B$11 *$D$40)</f>
        <v>96.345467577693228</v>
      </c>
      <c r="D40" s="30">
        <f>($B$10 *$E$39 + $B$11 *$E$40)</f>
        <v>92.669912593574523</v>
      </c>
      <c r="E40" s="30">
        <f>($B$10 *$F$39 + $B$11 *$F$40)</f>
        <v>89.134579093464737</v>
      </c>
      <c r="F40" s="30">
        <f>($B$10 *$G$39 + $B$11 *$G$40)</f>
        <v>85.734117663557655</v>
      </c>
      <c r="G40" s="30">
        <f>($B$10 *$H$39 + $B$11 *$H$40)</f>
        <v>82.463382968817641</v>
      </c>
      <c r="H40" s="30">
        <f>($B$10 *$I$39 + $B$11 *$I$40)</f>
        <v>79.317425967426686</v>
      </c>
      <c r="I40" s="30">
        <f>($B$10 *$J$39 + $B$11 *$J$40)</f>
        <v>76.291486422248312</v>
      </c>
      <c r="J40" s="30">
        <f>($B$10 *$K$39 + $B$11 *$K$40)</f>
        <v>73.380985697977138</v>
      </c>
      <c r="K40" s="30">
        <f>($B$10 *$L$39 + $B$11 *$L$40)</f>
        <v>70.581519833075447</v>
      </c>
      <c r="L40" s="31">
        <f>$L$24</f>
        <v>67.88885287601353</v>
      </c>
      <c r="M40" s="22"/>
      <c r="N40" s="2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thickBot="1" x14ac:dyDescent="0.3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24</v>
      </c>
      <c r="G42" s="33" t="s">
        <v>25</v>
      </c>
      <c r="H42" s="33" t="s">
        <v>26</v>
      </c>
      <c r="I42" s="33" t="s">
        <v>27</v>
      </c>
      <c r="J42" s="33" t="s">
        <v>28</v>
      </c>
      <c r="K42" s="33" t="s">
        <v>29</v>
      </c>
      <c r="L42" s="34" t="s">
        <v>30</v>
      </c>
      <c r="M42" s="28"/>
      <c r="N42" s="2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thickBot="1" x14ac:dyDescent="0.3">
      <c r="A44" s="1"/>
      <c r="B44" s="73" t="s">
        <v>38</v>
      </c>
      <c r="C44" s="7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73"/>
      <c r="P44" s="74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22"/>
      <c r="B45" s="1">
        <v>0</v>
      </c>
      <c r="C45" s="1">
        <f>B45+1</f>
        <v>1</v>
      </c>
      <c r="D45" s="1">
        <f t="shared" ref="D45:L45" si="0">C45+1</f>
        <v>2</v>
      </c>
      <c r="E45" s="1">
        <f t="shared" si="0"/>
        <v>3</v>
      </c>
      <c r="F45" s="1">
        <f t="shared" si="0"/>
        <v>4</v>
      </c>
      <c r="G45" s="1">
        <f t="shared" si="0"/>
        <v>5</v>
      </c>
      <c r="H45" s="1">
        <f t="shared" si="0"/>
        <v>6</v>
      </c>
      <c r="I45" s="1">
        <f t="shared" si="0"/>
        <v>7</v>
      </c>
      <c r="J45" s="1">
        <f t="shared" si="0"/>
        <v>8</v>
      </c>
      <c r="K45" s="1">
        <f t="shared" si="0"/>
        <v>9</v>
      </c>
      <c r="L45" s="1">
        <f t="shared" si="0"/>
        <v>10</v>
      </c>
      <c r="M45" s="22"/>
      <c r="N45" s="2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22">
        <v>10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37.29958713933712</v>
      </c>
      <c r="M46" s="1"/>
      <c r="N46" s="22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1"/>
    </row>
    <row r="47" spans="1:25" x14ac:dyDescent="0.25">
      <c r="A47" s="22">
        <f>A46-1</f>
        <v>9</v>
      </c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31.71680606245042</v>
      </c>
      <c r="L47" s="31">
        <f t="shared" ref="L47:L56" si="1">MAX($J$2*( L31-$J$3), 0)</f>
        <v>26.320516736072875</v>
      </c>
      <c r="M47" s="1"/>
      <c r="N47" s="22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1"/>
    </row>
    <row r="48" spans="1:25" x14ac:dyDescent="0.25">
      <c r="A48" s="22">
        <f t="shared" ref="A48:A56" si="2">A47-1</f>
        <v>8</v>
      </c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26.34839303066822</v>
      </c>
      <c r="K48" s="30">
        <f>EXP(-$B$6 * $B$3/$B$5) * ($B$10 *$L$47 + $B$11 *$L$48)</f>
        <v>21.15658439131947</v>
      </c>
      <c r="L48" s="31">
        <f t="shared" si="1"/>
        <v>16.159778476576307</v>
      </c>
      <c r="M48" s="1"/>
      <c r="N48" s="22"/>
      <c r="O48" s="29"/>
      <c r="P48" s="30"/>
      <c r="Q48" s="30"/>
      <c r="R48" s="30"/>
      <c r="S48" s="30"/>
      <c r="T48" s="30"/>
      <c r="U48" s="30"/>
      <c r="V48" s="30"/>
      <c r="W48" s="30"/>
      <c r="X48" s="30"/>
      <c r="Y48" s="31"/>
    </row>
    <row r="49" spans="1:25" x14ac:dyDescent="0.25">
      <c r="A49" s="22">
        <f t="shared" si="2"/>
        <v>7</v>
      </c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21.186169495766244</v>
      </c>
      <c r="J49" s="30">
        <f>EXP(-$B$6 * $B$3/$B$5) * ($B$10 *$K$48 + $B$11 *$K$49)</f>
        <v>16.191041119502085</v>
      </c>
      <c r="K49" s="30">
        <f>EXP(-$B$6 * $B$3/$B$5) * ($B$10 *$L$48 + $B$11 *$L$49)</f>
        <v>11.383475701650898</v>
      </c>
      <c r="L49" s="31">
        <f t="shared" si="1"/>
        <v>6.7563774429786037</v>
      </c>
      <c r="M49" s="1"/>
      <c r="N49" s="22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1"/>
    </row>
    <row r="50" spans="1:25" x14ac:dyDescent="0.25">
      <c r="A50" s="22">
        <f t="shared" si="2"/>
        <v>6</v>
      </c>
      <c r="B50" s="29"/>
      <c r="C50" s="30"/>
      <c r="D50" s="30"/>
      <c r="E50" s="30"/>
      <c r="F50" s="30"/>
      <c r="G50" s="30"/>
      <c r="H50" s="30">
        <f>EXP(-$B$6 * $B$3/$B$5) * ($B$10 *$I$49 + $B$11 *$I$50)</f>
        <v>16.351224636443231</v>
      </c>
      <c r="I50" s="30">
        <f>EXP(-$B$6 * $B$3/$B$5) * ($B$10 *$J$49 + $B$11 *$J$50)</f>
        <v>11.670487616201905</v>
      </c>
      <c r="J50" s="30">
        <f>EXP(-$B$6 * $B$3/$B$5) * ($B$10 *$K$49 + $B$11 *$K$50)</f>
        <v>7.2917383337518356</v>
      </c>
      <c r="K50" s="30">
        <f>EXP(-$B$6 * $B$3/$B$5) * ($B$10 *$L$49 + $B$11 *$L$50)</f>
        <v>3.3262046216983947</v>
      </c>
      <c r="L50" s="31">
        <f t="shared" si="1"/>
        <v>0</v>
      </c>
      <c r="M50" s="1"/>
      <c r="N50" s="22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1"/>
    </row>
    <row r="51" spans="1:25" x14ac:dyDescent="0.25">
      <c r="A51" s="22">
        <f t="shared" si="2"/>
        <v>5</v>
      </c>
      <c r="B51" s="29"/>
      <c r="C51" s="30"/>
      <c r="D51" s="30"/>
      <c r="E51" s="30"/>
      <c r="F51" s="30"/>
      <c r="G51" s="30">
        <f>EXP(-$B$6 * $B$3/$B$5) * ($B$10 *$H$50 + $B$11 *$H$51)</f>
        <v>12.10274299925128</v>
      </c>
      <c r="H51" s="30">
        <f>EXP(-$B$6 * $B$3/$B$5) * ($B$10 *$I$50 + $B$11 *$I$51)</f>
        <v>7.9882763566442625</v>
      </c>
      <c r="I51" s="30">
        <f>EXP(-$B$6 * $B$3/$B$5) * ($B$10 *$J$50 + $B$11 *$J$51)</f>
        <v>4.4205744604220429</v>
      </c>
      <c r="J51" s="30">
        <f>EXP(-$B$6 * $B$3/$B$5) * ($B$10 *$K$50 + $B$11 *$K$51)</f>
        <v>1.6375102307088201</v>
      </c>
      <c r="K51" s="30">
        <f>EXP(-$B$6 * $B$3/$B$5) * ($B$10 *$L$50 + $B$11 *$L$51)</f>
        <v>0</v>
      </c>
      <c r="L51" s="31">
        <f t="shared" si="1"/>
        <v>0</v>
      </c>
      <c r="M51" s="1"/>
      <c r="N51" s="22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1"/>
    </row>
    <row r="52" spans="1:25" x14ac:dyDescent="0.25">
      <c r="A52" s="22">
        <f t="shared" si="2"/>
        <v>4</v>
      </c>
      <c r="B52" s="29"/>
      <c r="C52" s="30"/>
      <c r="D52" s="30"/>
      <c r="E52" s="30"/>
      <c r="F52" s="30">
        <f>EXP(-$B$6 * $B$3/$B$5) * ($B$10 *$G$51 + $B$11 *$G$52)</f>
        <v>8.6190291501239358</v>
      </c>
      <c r="G52" s="30">
        <f>EXP(-$B$6 * $B$3/$B$5) * ($B$10 *$H$51 + $B$11 *$H$52)</f>
        <v>5.2443489974675144</v>
      </c>
      <c r="H52" s="30">
        <f>EXP(-$B$6 * $B$3/$B$5) * ($B$10 *$I$51 + $B$11 *$I$52)</f>
        <v>2.5852869274817354</v>
      </c>
      <c r="I52" s="30">
        <f>EXP(-$B$6 * $B$3/$B$5) * ($B$10 *$J$51 + $B$11 *$J$52)</f>
        <v>0.80615598276298528</v>
      </c>
      <c r="J52" s="30">
        <f>EXP(-$B$6 * $B$3/$B$5) * ($B$10 *$K$51 + $B$11 *$K$52)</f>
        <v>0</v>
      </c>
      <c r="K52" s="30">
        <f>EXP(-$B$6 * $B$3/$B$5) * ($B$10 *$L$51 + $B$11 *$L$52)</f>
        <v>0</v>
      </c>
      <c r="L52" s="31">
        <f t="shared" si="1"/>
        <v>0</v>
      </c>
      <c r="M52" s="1"/>
      <c r="N52" s="22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1"/>
    </row>
    <row r="53" spans="1:25" x14ac:dyDescent="0.25">
      <c r="A53" s="22">
        <f t="shared" si="2"/>
        <v>3</v>
      </c>
      <c r="B53" s="29"/>
      <c r="C53" s="30"/>
      <c r="D53" s="30"/>
      <c r="E53" s="30">
        <f>EXP(-$B$6 * $B$3/$B$5) * ($B$10 *$F$52 + $B$11 *$F$53)</f>
        <v>5.9325736855333755</v>
      </c>
      <c r="F53" s="30">
        <f>EXP(-$B$6 * $B$3/$B$5) * ($B$10 *$G$52 + $B$11 *$G$53)</f>
        <v>3.329730235433507</v>
      </c>
      <c r="G53" s="30">
        <f>EXP(-$B$6 * $B$3/$B$5) * ($B$10 *$H$52 + $B$11 *$H$53)</f>
        <v>1.4741110650962053</v>
      </c>
      <c r="H53" s="30">
        <f>EXP(-$B$6 * $B$3/$B$5) * ($B$10 *$I$52 + $B$11 *$I$53)</f>
        <v>0.39687536380352351</v>
      </c>
      <c r="I53" s="30">
        <f>EXP(-$B$6 * $B$3/$B$5) * ($B$10 *$J$52 + $B$11 *$J$53)</f>
        <v>0</v>
      </c>
      <c r="J53" s="30">
        <f>EXP(-$B$6 * $B$3/$B$5) * ($B$10 *$K$52 + $B$11 *$K$53)</f>
        <v>0</v>
      </c>
      <c r="K53" s="30">
        <f>EXP(-$B$6 * $B$3/$B$5) * ($B$10 *$L$52 + $B$11 *$L$53)</f>
        <v>0</v>
      </c>
      <c r="L53" s="31">
        <f t="shared" si="1"/>
        <v>0</v>
      </c>
      <c r="M53" s="1"/>
      <c r="N53" s="22"/>
      <c r="O53" s="29"/>
      <c r="P53" s="30"/>
      <c r="Q53" s="30"/>
      <c r="R53" s="30"/>
      <c r="S53" s="30"/>
      <c r="T53" s="30"/>
      <c r="U53" s="30"/>
      <c r="V53" s="30"/>
      <c r="W53" s="30"/>
      <c r="X53" s="30"/>
      <c r="Y53" s="31"/>
    </row>
    <row r="54" spans="1:25" x14ac:dyDescent="0.25">
      <c r="A54" s="22">
        <f t="shared" si="2"/>
        <v>2</v>
      </c>
      <c r="B54" s="29"/>
      <c r="C54" s="30"/>
      <c r="D54" s="30">
        <f>EXP(-$B$6 * $B$3/$B$5) * ($B$10 *$E$53 + $B$11 *$E$54)</f>
        <v>3.9646574335910638</v>
      </c>
      <c r="E54" s="30">
        <f>EXP(-$B$6 * $B$3/$B$5) * ($B$10 *$F$53 + $B$11 *$F$54)</f>
        <v>2.0577393400901141</v>
      </c>
      <c r="F54" s="30">
        <f>EXP(-$B$6 * $B$3/$B$5) * ($B$10 *$G$53 + $B$11 *$G$54)</f>
        <v>0.82484383520667937</v>
      </c>
      <c r="G54" s="30">
        <f>EXP(-$B$6 * $B$3/$B$5) * ($B$10 *$H$53 + $B$11 *$H$54)</f>
        <v>0.19538409161752515</v>
      </c>
      <c r="H54" s="30">
        <f>EXP(-$B$6 * $B$3/$B$5) * ($B$10 *$I$53 + $B$11 *$I$54)</f>
        <v>0</v>
      </c>
      <c r="I54" s="30">
        <f>EXP(-$B$6 * $B$3/$B$5) * ($B$10 *$J$53 + $B$11 *$J$54)</f>
        <v>0</v>
      </c>
      <c r="J54" s="30">
        <f>EXP(-$B$6 * $B$3/$B$5) * ($B$10 *$K$53 + $B$11 *$K$54)</f>
        <v>0</v>
      </c>
      <c r="K54" s="30">
        <f>EXP(-$B$6 * $B$3/$B$5) * ($B$10 *$L$53 + $B$11 *$L$54)</f>
        <v>0</v>
      </c>
      <c r="L54" s="31">
        <f t="shared" si="1"/>
        <v>0</v>
      </c>
      <c r="M54" s="1"/>
      <c r="N54" s="22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1"/>
    </row>
    <row r="55" spans="1:25" x14ac:dyDescent="0.25">
      <c r="A55" s="22">
        <f t="shared" si="2"/>
        <v>1</v>
      </c>
      <c r="B55" s="29"/>
      <c r="C55" s="30">
        <f>EXP(-$B$6 * $B$3/$B$5) * ($B$10 *$D$54 + $B$11 *$D$55)</f>
        <v>2.5828921142479988</v>
      </c>
      <c r="D55" s="30">
        <f>EXP(-$B$6 * $B$3/$B$5) * ($B$10 *$E$54 + $B$11 *$E$55)</f>
        <v>1.2438244788182085</v>
      </c>
      <c r="E55" s="30">
        <f>EXP(-$B$6 * $B$3/$B$5) * ($B$10 *$F$54 + $B$11 *$F$55)</f>
        <v>0.45487790303745368</v>
      </c>
      <c r="F55" s="30">
        <f>EXP(-$B$6 * $B$3/$B$5) * ($B$10 *$G$54 + $B$11 *$G$55)</f>
        <v>9.6188745230616754E-2</v>
      </c>
      <c r="G55" s="30">
        <f>EXP(-$B$6 * $B$3/$B$5) * ($B$10 *$H$54 + $B$11 *$H$55)</f>
        <v>0</v>
      </c>
      <c r="H55" s="30">
        <f>EXP(-$B$6 * $B$3/$B$5) * ($B$10 *$I$54 + $B$11 *$I$55)</f>
        <v>0</v>
      </c>
      <c r="I55" s="30">
        <f>EXP(-$B$6 * $B$3/$B$5) * ($B$10 *$J$54 + $B$11 *$J$55)</f>
        <v>0</v>
      </c>
      <c r="J55" s="30">
        <f>EXP(-$B$6 * $B$3/$B$5) * ($B$10 *$K$54 + $B$11 *$K$55)</f>
        <v>0</v>
      </c>
      <c r="K55" s="30">
        <f>EXP(-$B$6 * $B$3/$B$5) * ($B$10 *$L$54 + $B$11 *$L$55)</f>
        <v>0</v>
      </c>
      <c r="L55" s="31">
        <f t="shared" si="1"/>
        <v>0</v>
      </c>
      <c r="M55" s="1"/>
      <c r="N55" s="22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1"/>
    </row>
    <row r="56" spans="1:25" x14ac:dyDescent="0.25">
      <c r="A56" s="22">
        <f t="shared" si="2"/>
        <v>0</v>
      </c>
      <c r="B56" s="25">
        <f>EXP(-$B$6 * $B$3/$B$5) * ($B$10 *$C$55 + $B$11 *$C$56)</f>
        <v>1.6460813419389992</v>
      </c>
      <c r="C56" s="30">
        <f>EXP(-$B$6 * $B$3/$B$5) * ($B$10 *$D$55 + $B$11 *$D$56)</f>
        <v>0.73814977299052453</v>
      </c>
      <c r="D56" s="30">
        <f>EXP(-$B$6 * $B$3/$B$5) * ($B$10 *$E$55 + $B$11 *$E$56)</f>
        <v>0.24796479504506178</v>
      </c>
      <c r="E56" s="30">
        <f>EXP(-$B$6 * $B$3/$B$5) * ($B$10 *$F$55 + $B$11 *$F$56)</f>
        <v>4.7354288839197414E-2</v>
      </c>
      <c r="F56" s="30">
        <f>EXP(-$B$6 * $B$3/$B$5) * ($B$10 *$G$55 + $B$11 *$G$56)</f>
        <v>0</v>
      </c>
      <c r="G56" s="30">
        <f>EXP(-$B$6 * $B$3/$B$5) * ($B$10 *$H$55 + $B$11 *$H$56)</f>
        <v>0</v>
      </c>
      <c r="H56" s="30">
        <f>EXP(-$B$6 * $B$3/$B$5) * ($B$10 *$I$55 + $B$11 *$I$56)</f>
        <v>0</v>
      </c>
      <c r="I56" s="30">
        <f>EXP(-$B$6 * $B$3/$B$5) * ($B$10 *$J$55 + $B$11 *$J$56)</f>
        <v>0</v>
      </c>
      <c r="J56" s="30">
        <f>EXP(-$B$6 * $B$3/$B$5) * ($B$10 *$K$55 + $B$11 *$K$56)</f>
        <v>0</v>
      </c>
      <c r="K56" s="30">
        <f>EXP(-$B$6 * $B$3/$B$5) * ($B$10 *$L$55 + $B$11 *$L$56)</f>
        <v>0</v>
      </c>
      <c r="L56" s="31">
        <f t="shared" si="1"/>
        <v>0</v>
      </c>
      <c r="M56" s="1"/>
      <c r="N56" s="22"/>
      <c r="O56" s="25"/>
      <c r="P56" s="30"/>
      <c r="Q56" s="30"/>
      <c r="R56" s="30"/>
      <c r="S56" s="30"/>
      <c r="T56" s="30"/>
      <c r="U56" s="30"/>
      <c r="V56" s="30"/>
      <c r="W56" s="30"/>
      <c r="X56" s="30"/>
      <c r="Y56" s="31"/>
    </row>
    <row r="57" spans="1:25" x14ac:dyDescent="0.25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1"/>
    </row>
    <row r="58" spans="1:25" ht="15.75" thickBot="1" x14ac:dyDescent="0.3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24</v>
      </c>
      <c r="G58" s="33" t="s">
        <v>25</v>
      </c>
      <c r="H58" s="33" t="s">
        <v>26</v>
      </c>
      <c r="I58" s="33" t="s">
        <v>27</v>
      </c>
      <c r="J58" s="33" t="s">
        <v>28</v>
      </c>
      <c r="K58" s="33" t="s">
        <v>29</v>
      </c>
      <c r="L58" s="34" t="s">
        <v>30</v>
      </c>
      <c r="M58" s="28"/>
      <c r="N58" s="28"/>
      <c r="O58" s="32"/>
      <c r="P58" s="33"/>
      <c r="Q58" s="33"/>
      <c r="R58" s="33"/>
      <c r="S58" s="33"/>
      <c r="T58" s="33"/>
      <c r="U58" s="33"/>
      <c r="V58" s="33"/>
      <c r="W58" s="33"/>
      <c r="X58" s="33"/>
      <c r="Y58" s="34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thickBot="1" x14ac:dyDescent="0.3">
      <c r="A61" s="1"/>
      <c r="B61" s="73" t="s">
        <v>36</v>
      </c>
      <c r="C61" s="7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22"/>
      <c r="B62" s="1">
        <v>0</v>
      </c>
      <c r="C62" s="1">
        <f>B62+1</f>
        <v>1</v>
      </c>
      <c r="D62" s="1">
        <f t="shared" ref="D62:L62" si="3">C62+1</f>
        <v>2</v>
      </c>
      <c r="E62" s="1">
        <f t="shared" si="3"/>
        <v>3</v>
      </c>
      <c r="F62" s="1">
        <f t="shared" si="3"/>
        <v>4</v>
      </c>
      <c r="G62" s="1">
        <f t="shared" si="3"/>
        <v>5</v>
      </c>
      <c r="H62" s="1">
        <f t="shared" si="3"/>
        <v>6</v>
      </c>
      <c r="I62" s="65">
        <f t="shared" si="3"/>
        <v>7</v>
      </c>
      <c r="J62" s="1">
        <f t="shared" si="3"/>
        <v>8</v>
      </c>
      <c r="K62" s="1">
        <f t="shared" si="3"/>
        <v>9</v>
      </c>
      <c r="L62" s="1">
        <f t="shared" si="3"/>
        <v>10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22">
        <v>10</v>
      </c>
      <c r="B63" s="29"/>
      <c r="C63" s="30"/>
      <c r="D63" s="30"/>
      <c r="E63" s="30"/>
      <c r="F63" s="30"/>
      <c r="G63" s="30"/>
      <c r="H63" s="30"/>
      <c r="I63" s="66"/>
      <c r="J63" s="30"/>
      <c r="K63" s="30"/>
      <c r="L63" s="31">
        <f>MAX($J$2*( L30-$J$3), 0)</f>
        <v>37.29958713933712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22">
        <f>A63-1</f>
        <v>9</v>
      </c>
      <c r="B64" s="29"/>
      <c r="C64" s="30"/>
      <c r="D64" s="30"/>
      <c r="E64" s="30"/>
      <c r="F64" s="30"/>
      <c r="G64" s="30"/>
      <c r="H64" s="30"/>
      <c r="I64" s="66"/>
      <c r="J64" s="30"/>
      <c r="K64" s="30">
        <f>MAX($J$2*(K31-$J$3),0) - EXP(-$B$6 * $B$3/$B$5) * ($B$10 *$L$46 + $B$11 *$L$47)</f>
        <v>1.0574030928065525E-2</v>
      </c>
      <c r="L64" s="31">
        <f t="shared" ref="L64:L73" si="4">MAX($J$2*( L31-$J$3), 0)</f>
        <v>26.320516736072875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22">
        <f t="shared" ref="A65:A73" si="5">A64-1</f>
        <v>8</v>
      </c>
      <c r="B65" s="29"/>
      <c r="C65" s="30"/>
      <c r="D65" s="30"/>
      <c r="E65" s="30"/>
      <c r="F65" s="30"/>
      <c r="G65" s="30"/>
      <c r="H65" s="30"/>
      <c r="I65" s="66"/>
      <c r="J65" s="30">
        <f>MAX($J$2*(J32-$J$3),0) - EXP(-$B$6 * $B$3/$B$5) * ($B$10 *$K$47 + $B$11 *$K$48)</f>
        <v>1.7571451853584108E-2</v>
      </c>
      <c r="K65" s="30">
        <f t="shared" ref="K65:K73" si="6">MAX($J$2*(K32-$J$3),0) - EXP(-$B$6 * $B$3/$B$5) * ($B$10 *$L$46 + $B$11 *$L$47)</f>
        <v>-10.553168300837459</v>
      </c>
      <c r="L65" s="31">
        <f t="shared" si="4"/>
        <v>16.159778476576307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22">
        <f t="shared" si="5"/>
        <v>7</v>
      </c>
      <c r="B66" s="29"/>
      <c r="C66" s="30"/>
      <c r="D66" s="30"/>
      <c r="E66" s="30"/>
      <c r="F66" s="30"/>
      <c r="G66" s="30"/>
      <c r="H66" s="30"/>
      <c r="I66" s="66">
        <f>MAX($J$2*(I33-$J$3),0)-EXP(-$B$6 * $B$3/$B$5) * ($B$10 *$J$48 + $B$11 *$J$49)</f>
        <v>2.1196766112389298E-2</v>
      </c>
      <c r="J66" s="30">
        <f t="shared" ref="J66:J73" si="7">MAX($J$2*(J33-$J$3),0) - EXP(-$B$6 * $B$3/$B$5) * ($B$10 *$K$47 + $B$11 *$K$48)</f>
        <v>-10.14655428494433</v>
      </c>
      <c r="K66" s="30">
        <f t="shared" si="6"/>
        <v>-20.329535236413395</v>
      </c>
      <c r="L66" s="31">
        <f t="shared" si="4"/>
        <v>6.7563774429786037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22">
        <f t="shared" si="5"/>
        <v>6</v>
      </c>
      <c r="B67" s="29"/>
      <c r="C67" s="30"/>
      <c r="D67" s="30"/>
      <c r="E67" s="30"/>
      <c r="F67" s="30"/>
      <c r="G67" s="30"/>
      <c r="H67" s="30">
        <f>MAX($J$2*(H34-$J$3),0) - EXP(-$B$6 * $B$3/$B$5) * ($B$10 *$I$49 + $B$11 *$I$50)</f>
        <v>-0.10731159914508837</v>
      </c>
      <c r="I67" s="66">
        <f t="shared" ref="I67:I73" si="8">MAX($J$2*(I34-$J$3),0)-EXP(-$B$6 * $B$3/$B$5) * ($B$10 *$J$48 + $B$11 *$J$49)</f>
        <v>-9.7584295016339055</v>
      </c>
      <c r="J67" s="30">
        <f t="shared" si="7"/>
        <v>-19.553090308022448</v>
      </c>
      <c r="K67" s="30">
        <f t="shared" si="6"/>
        <v>-29.377214312380463</v>
      </c>
      <c r="L67" s="31">
        <f t="shared" si="4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22">
        <f t="shared" si="5"/>
        <v>5</v>
      </c>
      <c r="B68" s="29"/>
      <c r="C68" s="30"/>
      <c r="D68" s="30"/>
      <c r="E68" s="30"/>
      <c r="F68" s="30"/>
      <c r="G68" s="30">
        <f>MAX($J$2*(G35-$J$3),0) -EXP(-$B$6 * $B$3/$B$5) * ($B$10 *$H$50 + $B$11 *$H$51)</f>
        <v>-0.63452034505239752</v>
      </c>
      <c r="H68" s="30">
        <f t="shared" ref="H68:H73" si="9">MAX($J$2*(H35-$J$3),0) - EXP(-$B$6 * $B$3/$B$5) * ($B$10 *$I$49 + $B$11 *$I$50)</f>
        <v>-9.5169836568742987</v>
      </c>
      <c r="I68" s="66">
        <f t="shared" si="8"/>
        <v>-18.809124973330988</v>
      </c>
      <c r="J68" s="30">
        <f t="shared" si="7"/>
        <v>-26.34839303066822</v>
      </c>
      <c r="K68" s="30">
        <f t="shared" si="6"/>
        <v>-31.71680606245042</v>
      </c>
      <c r="L68" s="31">
        <f t="shared" si="4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22">
        <f t="shared" si="5"/>
        <v>4</v>
      </c>
      <c r="B69" s="29"/>
      <c r="C69" s="30"/>
      <c r="D69" s="30"/>
      <c r="E69" s="30"/>
      <c r="F69" s="30">
        <f>MAX($J$2*(F36-$J$3),0) -EXP(-$B$6 * $B$3/$B$5) * ($B$10 *$G$51 + $B$11 *$G$52)</f>
        <v>-1.7458369320493858</v>
      </c>
      <c r="G69" s="30">
        <f t="shared" ref="G69:G73" si="10">MAX($J$2*(G36-$J$3),0) -EXP(-$B$6 * $B$3/$B$5) * ($B$10 *$H$50 + $B$11 *$H$51)</f>
        <v>-9.6882332181123338</v>
      </c>
      <c r="H69" s="30">
        <f t="shared" si="9"/>
        <v>-16.351224636443231</v>
      </c>
      <c r="I69" s="66">
        <f t="shared" si="8"/>
        <v>-21.186169495766244</v>
      </c>
      <c r="J69" s="30">
        <f t="shared" si="7"/>
        <v>-26.34839303066822</v>
      </c>
      <c r="K69" s="30">
        <f t="shared" si="6"/>
        <v>-31.71680606245042</v>
      </c>
      <c r="L69" s="31">
        <f t="shared" si="4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22">
        <f t="shared" si="5"/>
        <v>3</v>
      </c>
      <c r="B70" s="29"/>
      <c r="C70" s="30"/>
      <c r="D70" s="30"/>
      <c r="E70" s="30">
        <f>MAX($J$2*(E37-$J$3),0) -EXP(-$B$6 * $B$3/$B$5) * ($B$10 *$F$52 + $B$11 *$F$53)</f>
        <v>-3.480586155189533</v>
      </c>
      <c r="F70" s="30">
        <f t="shared" ref="F70:F73" si="11">MAX($J$2*(F37-$J$3),0) -EXP(-$B$6 * $B$3/$B$5) * ($B$10 *$G$51 + $B$11 *$G$52)</f>
        <v>-8.6190291501239358</v>
      </c>
      <c r="G70" s="30">
        <f t="shared" si="10"/>
        <v>-12.10274299925128</v>
      </c>
      <c r="H70" s="30">
        <f t="shared" si="9"/>
        <v>-16.351224636443231</v>
      </c>
      <c r="I70" s="66">
        <f t="shared" si="8"/>
        <v>-21.186169495766244</v>
      </c>
      <c r="J70" s="30">
        <f t="shared" si="7"/>
        <v>-26.34839303066822</v>
      </c>
      <c r="K70" s="30">
        <f t="shared" si="6"/>
        <v>-31.71680606245042</v>
      </c>
      <c r="L70" s="31">
        <f t="shared" si="4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22">
        <f t="shared" si="5"/>
        <v>2</v>
      </c>
      <c r="B71" s="29"/>
      <c r="C71" s="30"/>
      <c r="D71" s="30">
        <f>MAX($J$2*(D38-$J$3),0) -EXP(-$B$6 * $B$3/$B$5) * ($B$10 *$E$53 + $B$11 *$E$54)</f>
        <v>-3.9646574335910638</v>
      </c>
      <c r="E71" s="30">
        <f t="shared" ref="E71:E73" si="12">MAX($J$2*(E38-$J$3),0) -EXP(-$B$6 * $B$3/$B$5) * ($B$10 *$F$52 + $B$11 *$F$53)</f>
        <v>-5.9325736855333755</v>
      </c>
      <c r="F71" s="30">
        <f t="shared" si="11"/>
        <v>-8.6190291501239358</v>
      </c>
      <c r="G71" s="30">
        <f t="shared" si="10"/>
        <v>-12.10274299925128</v>
      </c>
      <c r="H71" s="30">
        <f t="shared" si="9"/>
        <v>-16.351224636443231</v>
      </c>
      <c r="I71" s="66">
        <f t="shared" si="8"/>
        <v>-21.186169495766244</v>
      </c>
      <c r="J71" s="30">
        <f t="shared" si="7"/>
        <v>-26.34839303066822</v>
      </c>
      <c r="K71" s="30">
        <f t="shared" si="6"/>
        <v>-31.71680606245042</v>
      </c>
      <c r="L71" s="31">
        <f t="shared" si="4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22">
        <f t="shared" si="5"/>
        <v>1</v>
      </c>
      <c r="B72" s="29"/>
      <c r="C72" s="30">
        <f>MAX($J$2*(C39-$J$3),0) -EXP(-$B$6 * $B$3/$B$5) * ($B$10 *$D$54 + $B$11 *$D$55)</f>
        <v>-2.5828921142479988</v>
      </c>
      <c r="D72" s="30">
        <f t="shared" ref="D72:D73" si="13">MAX($J$2*(D39-$J$3),0) -EXP(-$B$6 * $B$3/$B$5) * ($B$10 *$E$53 + $B$11 *$E$54)</f>
        <v>-3.9646574335910638</v>
      </c>
      <c r="E72" s="30">
        <f t="shared" si="12"/>
        <v>-5.9325736855333755</v>
      </c>
      <c r="F72" s="30">
        <f t="shared" si="11"/>
        <v>-8.6190291501239358</v>
      </c>
      <c r="G72" s="30">
        <f t="shared" si="10"/>
        <v>-12.10274299925128</v>
      </c>
      <c r="H72" s="30">
        <f t="shared" si="9"/>
        <v>-16.351224636443231</v>
      </c>
      <c r="I72" s="66">
        <f t="shared" si="8"/>
        <v>-21.186169495766244</v>
      </c>
      <c r="J72" s="30">
        <f t="shared" si="7"/>
        <v>-26.34839303066822</v>
      </c>
      <c r="K72" s="30">
        <f t="shared" si="6"/>
        <v>-31.71680606245042</v>
      </c>
      <c r="L72" s="31">
        <f t="shared" si="4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22">
        <f t="shared" si="5"/>
        <v>0</v>
      </c>
      <c r="B73" s="25">
        <f>MAX($J$2*(B40-$J$3),0) -EXP(-$B$6 * $B$3/$B$5) * ($B$10 *$C$55 + $B$11 *$C$56)</f>
        <v>-1.6460813419389992</v>
      </c>
      <c r="C73" s="30">
        <f>MAX($J$2*(C40-$J$3),0) -EXP(-$B$6 * $B$3/$B$5) * ($B$10 *$D$54 + $B$11 *$D$55)</f>
        <v>-2.5828921142479988</v>
      </c>
      <c r="D73" s="30">
        <f t="shared" si="13"/>
        <v>-3.9646574335910638</v>
      </c>
      <c r="E73" s="30">
        <f t="shared" si="12"/>
        <v>-5.9325736855333755</v>
      </c>
      <c r="F73" s="30">
        <f t="shared" si="11"/>
        <v>-8.6190291501239358</v>
      </c>
      <c r="G73" s="30">
        <f t="shared" si="10"/>
        <v>-12.10274299925128</v>
      </c>
      <c r="H73" s="30">
        <f t="shared" si="9"/>
        <v>-16.351224636443231</v>
      </c>
      <c r="I73" s="66">
        <f t="shared" si="8"/>
        <v>-21.186169495766244</v>
      </c>
      <c r="J73" s="30">
        <f t="shared" si="7"/>
        <v>-26.34839303066822</v>
      </c>
      <c r="K73" s="30">
        <f t="shared" si="6"/>
        <v>-31.71680606245042</v>
      </c>
      <c r="L73" s="31">
        <f t="shared" si="4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22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thickBot="1" x14ac:dyDescent="0.3">
      <c r="A75" s="28"/>
      <c r="B75" s="32" t="s">
        <v>13</v>
      </c>
      <c r="C75" s="33" t="s">
        <v>14</v>
      </c>
      <c r="D75" s="33" t="s">
        <v>15</v>
      </c>
      <c r="E75" s="33" t="s">
        <v>16</v>
      </c>
      <c r="F75" s="33" t="s">
        <v>24</v>
      </c>
      <c r="G75" s="33" t="s">
        <v>25</v>
      </c>
      <c r="H75" s="33" t="s">
        <v>26</v>
      </c>
      <c r="I75" s="33" t="s">
        <v>27</v>
      </c>
      <c r="J75" s="33" t="s">
        <v>28</v>
      </c>
      <c r="K75" s="33" t="s">
        <v>29</v>
      </c>
      <c r="L75" s="34" t="s">
        <v>30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</sheetData>
  <mergeCells count="8">
    <mergeCell ref="O44:P44"/>
    <mergeCell ref="B61:C61"/>
    <mergeCell ref="A1:B1"/>
    <mergeCell ref="E1:F1"/>
    <mergeCell ref="I1:J1"/>
    <mergeCell ref="B13:C13"/>
    <mergeCell ref="B29:C29"/>
    <mergeCell ref="B44:C44"/>
  </mergeCells>
  <dataValidations count="2">
    <dataValidation type="list" allowBlank="1" showInputMessage="1" showErrorMessage="1" sqref="J2">
      <formula1>"1, -1"</formula1>
    </dataValidation>
    <dataValidation type="list" allowBlank="1" showInputMessage="1" showErrorMessage="1" sqref="J5 H5">
      <formula1>"European, American"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topLeftCell="A72" zoomScale="80" zoomScaleNormal="80" workbookViewId="0">
      <selection activeCell="B91" sqref="B91"/>
    </sheetView>
  </sheetViews>
  <sheetFormatPr baseColWidth="10" defaultRowHeight="15" x14ac:dyDescent="0.25"/>
  <cols>
    <col min="14" max="14" width="13" bestFit="1" customWidth="1"/>
  </cols>
  <sheetData>
    <row r="1" spans="1:17" ht="15.75" thickBot="1" x14ac:dyDescent="0.3">
      <c r="A1" s="69" t="s">
        <v>0</v>
      </c>
      <c r="B1" s="70"/>
      <c r="F1" s="69" t="s">
        <v>1</v>
      </c>
      <c r="G1" s="70"/>
    </row>
    <row r="2" spans="1:17" x14ac:dyDescent="0.25">
      <c r="A2" s="3" t="s">
        <v>2</v>
      </c>
      <c r="B2" s="4">
        <v>100</v>
      </c>
      <c r="F2" s="50" t="s">
        <v>20</v>
      </c>
      <c r="G2" s="42">
        <v>-1</v>
      </c>
    </row>
    <row r="3" spans="1:17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17" x14ac:dyDescent="0.25">
      <c r="A4" s="7" t="s">
        <v>5</v>
      </c>
      <c r="B4" s="10">
        <v>0.3</v>
      </c>
    </row>
    <row r="5" spans="1:17" x14ac:dyDescent="0.25">
      <c r="A5" s="7" t="s">
        <v>6</v>
      </c>
      <c r="B5" s="11">
        <v>15</v>
      </c>
    </row>
    <row r="6" spans="1:17" x14ac:dyDescent="0.25">
      <c r="A6" s="7" t="s">
        <v>22</v>
      </c>
      <c r="B6" s="46">
        <v>0.02</v>
      </c>
    </row>
    <row r="7" spans="1:17" ht="15.75" thickBot="1" x14ac:dyDescent="0.3">
      <c r="A7" s="47" t="s">
        <v>23</v>
      </c>
      <c r="B7" s="48">
        <v>0.01</v>
      </c>
    </row>
    <row r="8" spans="1:17" x14ac:dyDescent="0.25">
      <c r="A8" s="13" t="s">
        <v>8</v>
      </c>
      <c r="B8" s="14">
        <f>EXP(B4*SQRT(B3/B5))</f>
        <v>1.0394896104013376</v>
      </c>
    </row>
    <row r="9" spans="1:17" x14ac:dyDescent="0.25">
      <c r="A9" s="15" t="s">
        <v>9</v>
      </c>
      <c r="B9" s="16">
        <f>1/B8</f>
        <v>0.96201057710803761</v>
      </c>
    </row>
    <row r="10" spans="1:17" x14ac:dyDescent="0.25">
      <c r="A10" s="15" t="s">
        <v>10</v>
      </c>
      <c r="B10" s="18">
        <f>(EXP((B6 - B7) * B3/B5) - B9) / (B8 - B9)</f>
        <v>0.49247005062451049</v>
      </c>
    </row>
    <row r="11" spans="1:17" ht="15.75" thickBot="1" x14ac:dyDescent="0.3">
      <c r="A11" s="19" t="s">
        <v>11</v>
      </c>
      <c r="B11" s="20">
        <f>1 - B10</f>
        <v>0.50752994937548945</v>
      </c>
    </row>
    <row r="12" spans="1:17" x14ac:dyDescent="0.25">
      <c r="A12" s="15" t="s">
        <v>7</v>
      </c>
      <c r="B12">
        <f>EXP($B$6*$B$3/ $B$5)</f>
        <v>1.0003333888950623</v>
      </c>
    </row>
    <row r="13" spans="1:17" x14ac:dyDescent="0.25">
      <c r="A13" s="15" t="s">
        <v>37</v>
      </c>
      <c r="B13">
        <f>1/$B$12</f>
        <v>0.9996667222160498</v>
      </c>
    </row>
    <row r="14" spans="1:17" x14ac:dyDescent="0.25">
      <c r="A14" s="53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</row>
    <row r="15" spans="1:17" x14ac:dyDescent="0.25">
      <c r="A15" s="49"/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61">
        <v>11</v>
      </c>
      <c r="N15" s="61">
        <v>12</v>
      </c>
      <c r="O15" s="61">
        <v>13</v>
      </c>
      <c r="P15" s="61">
        <v>14</v>
      </c>
      <c r="Q15" s="61">
        <v>15</v>
      </c>
    </row>
    <row r="16" spans="1:17" x14ac:dyDescent="0.25">
      <c r="A16">
        <v>15</v>
      </c>
      <c r="Q16">
        <f ca="1">P17*$B$8</f>
        <v>178.77315075823685</v>
      </c>
    </row>
    <row r="17" spans="1:17" x14ac:dyDescent="0.25">
      <c r="A17">
        <v>14</v>
      </c>
      <c r="P17">
        <f ca="1">O18*$B$8</f>
        <v>171.98166193235366</v>
      </c>
      <c r="Q17">
        <f t="shared" ref="Q17:Q30" ca="1" si="0">P18*$B$8</f>
        <v>165.44817784754298</v>
      </c>
    </row>
    <row r="18" spans="1:17" x14ac:dyDescent="0.25">
      <c r="A18">
        <v>13</v>
      </c>
      <c r="O18">
        <f ca="1">N19*$B$8</f>
        <v>165.44817784754298</v>
      </c>
      <c r="P18">
        <f t="shared" ref="P18:P30" ca="1" si="1">O19*$B$8</f>
        <v>159.16289705258808</v>
      </c>
      <c r="Q18">
        <f t="shared" ca="1" si="0"/>
        <v>153.11639044774745</v>
      </c>
    </row>
    <row r="19" spans="1:17" x14ac:dyDescent="0.25">
      <c r="A19">
        <v>12</v>
      </c>
      <c r="N19">
        <f ca="1">M20*$B$8</f>
        <v>159.16289705258808</v>
      </c>
      <c r="O19">
        <f t="shared" ref="O19:O30" ca="1" si="2">N20*$B$8</f>
        <v>153.11639044774745</v>
      </c>
      <c r="P19">
        <f t="shared" ca="1" si="1"/>
        <v>147.29958713933715</v>
      </c>
      <c r="Q19">
        <f t="shared" ca="1" si="0"/>
        <v>141.70376083168938</v>
      </c>
    </row>
    <row r="20" spans="1:17" x14ac:dyDescent="0.25">
      <c r="A20">
        <v>11</v>
      </c>
      <c r="M20">
        <f ca="1">L21*$B$8</f>
        <v>153.11639044774745</v>
      </c>
      <c r="N20">
        <f t="shared" ref="N20:N30" ca="1" si="3">M21*$B$8</f>
        <v>147.29958713933715</v>
      </c>
      <c r="O20">
        <f t="shared" ca="1" si="2"/>
        <v>141.70376083168941</v>
      </c>
      <c r="P20">
        <f t="shared" ca="1" si="1"/>
        <v>136.32051673607285</v>
      </c>
      <c r="Q20">
        <f t="shared" ca="1" si="0"/>
        <v>131.14177897693534</v>
      </c>
    </row>
    <row r="21" spans="1:17" x14ac:dyDescent="0.25">
      <c r="A21" s="49">
        <v>10</v>
      </c>
      <c r="B21" s="54"/>
      <c r="C21" s="55" t="str">
        <f t="shared" ref="C21:L31" ca="1" si="4">IF($A21&lt;C$15,$B$9*OFFSET(C21,0,-1),IF($A21=C$15,$B$8*OFFSET(C21,1,-1),""))</f>
        <v/>
      </c>
      <c r="D21" s="55" t="str">
        <f t="shared" ca="1" si="4"/>
        <v/>
      </c>
      <c r="E21" s="55" t="str">
        <f t="shared" ca="1" si="4"/>
        <v/>
      </c>
      <c r="F21" s="55" t="str">
        <f t="shared" ca="1" si="4"/>
        <v/>
      </c>
      <c r="G21" s="55" t="str">
        <f t="shared" ca="1" si="4"/>
        <v/>
      </c>
      <c r="H21" s="55" t="str">
        <f t="shared" ca="1" si="4"/>
        <v/>
      </c>
      <c r="I21" s="55" t="str">
        <f t="shared" ca="1" si="4"/>
        <v/>
      </c>
      <c r="J21" s="55" t="str">
        <f t="shared" ca="1" si="4"/>
        <v/>
      </c>
      <c r="K21" s="55" t="str">
        <f t="shared" ca="1" si="4"/>
        <v/>
      </c>
      <c r="L21" s="55">
        <f ca="1">IF($A21&lt;L$15,$B$9*OFFSET(L21,0,-1),IF($A21=L$15,$B$8*OFFSET(L21,1,-1),""))</f>
        <v>147.29958713933715</v>
      </c>
      <c r="M21">
        <f t="shared" ref="M21:M30" ca="1" si="5">L22*$B$8</f>
        <v>141.70376083168941</v>
      </c>
      <c r="N21">
        <f t="shared" ca="1" si="3"/>
        <v>136.32051673607288</v>
      </c>
      <c r="O21">
        <f t="shared" ca="1" si="2"/>
        <v>131.14177897693534</v>
      </c>
      <c r="P21">
        <f t="shared" ca="1" si="1"/>
        <v>126.15977847657629</v>
      </c>
      <c r="Q21">
        <f t="shared" ca="1" si="0"/>
        <v>121.36704130007335</v>
      </c>
    </row>
    <row r="22" spans="1:17" x14ac:dyDescent="0.25">
      <c r="A22" s="49">
        <v>9</v>
      </c>
      <c r="B22" s="54"/>
      <c r="C22" s="55" t="str">
        <f t="shared" ca="1" si="4"/>
        <v/>
      </c>
      <c r="D22" s="55" t="str">
        <f t="shared" ca="1" si="4"/>
        <v/>
      </c>
      <c r="E22" s="55" t="str">
        <f t="shared" ca="1" si="4"/>
        <v/>
      </c>
      <c r="F22" s="55" t="str">
        <f t="shared" ca="1" si="4"/>
        <v/>
      </c>
      <c r="G22" s="55" t="str">
        <f t="shared" ca="1" si="4"/>
        <v/>
      </c>
      <c r="H22" s="55" t="str">
        <f t="shared" ca="1" si="4"/>
        <v/>
      </c>
      <c r="I22" s="55" t="str">
        <f t="shared" ca="1" si="4"/>
        <v/>
      </c>
      <c r="J22" s="55" t="str">
        <f t="shared" ca="1" si="4"/>
        <v/>
      </c>
      <c r="K22" s="55">
        <f t="shared" ca="1" si="4"/>
        <v>141.70376083168941</v>
      </c>
      <c r="L22" s="55">
        <f t="shared" ca="1" si="4"/>
        <v>136.32051673607288</v>
      </c>
      <c r="M22">
        <f t="shared" ca="1" si="5"/>
        <v>131.14177897693537</v>
      </c>
      <c r="N22">
        <f t="shared" ca="1" si="3"/>
        <v>126.15977847657629</v>
      </c>
      <c r="O22">
        <f t="shared" ca="1" si="2"/>
        <v>121.36704130007335</v>
      </c>
      <c r="P22">
        <f t="shared" ca="1" si="1"/>
        <v>116.7563774429786</v>
      </c>
      <c r="Q22">
        <f t="shared" ca="1" si="0"/>
        <v>112.32087004496371</v>
      </c>
    </row>
    <row r="23" spans="1:17" x14ac:dyDescent="0.25">
      <c r="A23" s="49">
        <v>8</v>
      </c>
      <c r="B23" s="54"/>
      <c r="C23" s="55" t="str">
        <f t="shared" ca="1" si="4"/>
        <v/>
      </c>
      <c r="D23" s="55" t="str">
        <f t="shared" ca="1" si="4"/>
        <v/>
      </c>
      <c r="E23" s="55" t="str">
        <f t="shared" ca="1" si="4"/>
        <v/>
      </c>
      <c r="F23" s="55" t="str">
        <f t="shared" ca="1" si="4"/>
        <v/>
      </c>
      <c r="G23" s="55" t="str">
        <f t="shared" ca="1" si="4"/>
        <v/>
      </c>
      <c r="H23" s="55" t="str">
        <f t="shared" ca="1" si="4"/>
        <v/>
      </c>
      <c r="I23" s="55" t="str">
        <f t="shared" ca="1" si="4"/>
        <v/>
      </c>
      <c r="J23" s="55">
        <f t="shared" ca="1" si="4"/>
        <v>136.32051673607288</v>
      </c>
      <c r="K23" s="55">
        <f t="shared" ca="1" si="4"/>
        <v>131.14177897693537</v>
      </c>
      <c r="L23" s="55">
        <f t="shared" ca="1" si="4"/>
        <v>126.15977847657631</v>
      </c>
      <c r="M23">
        <f t="shared" ca="1" si="5"/>
        <v>121.36704130007335</v>
      </c>
      <c r="N23">
        <f t="shared" ca="1" si="3"/>
        <v>116.7563774429786</v>
      </c>
      <c r="O23">
        <f t="shared" ca="1" si="2"/>
        <v>112.32087004496371</v>
      </c>
      <c r="P23">
        <f t="shared" ca="1" si="1"/>
        <v>108.05386501323244</v>
      </c>
      <c r="Q23">
        <f t="shared" ca="1" si="0"/>
        <v>103.94896104013371</v>
      </c>
    </row>
    <row r="24" spans="1:17" x14ac:dyDescent="0.25">
      <c r="A24" s="49">
        <v>7</v>
      </c>
      <c r="B24" s="54"/>
      <c r="C24" s="55" t="str">
        <f t="shared" ca="1" si="4"/>
        <v/>
      </c>
      <c r="D24" s="55" t="str">
        <f t="shared" ca="1" si="4"/>
        <v/>
      </c>
      <c r="E24" s="55" t="str">
        <f t="shared" ca="1" si="4"/>
        <v/>
      </c>
      <c r="F24" s="55" t="str">
        <f t="shared" ca="1" si="4"/>
        <v/>
      </c>
      <c r="G24" s="55" t="str">
        <f t="shared" ca="1" si="4"/>
        <v/>
      </c>
      <c r="H24" s="55" t="str">
        <f t="shared" ca="1" si="4"/>
        <v/>
      </c>
      <c r="I24" s="55">
        <f t="shared" ca="1" si="4"/>
        <v>131.14177897693537</v>
      </c>
      <c r="J24" s="55">
        <f t="shared" ca="1" si="4"/>
        <v>126.15977847657631</v>
      </c>
      <c r="K24" s="55">
        <f t="shared" ca="1" si="4"/>
        <v>121.36704130007335</v>
      </c>
      <c r="L24" s="55">
        <f t="shared" ca="1" si="4"/>
        <v>116.7563774429786</v>
      </c>
      <c r="M24">
        <f t="shared" ca="1" si="5"/>
        <v>112.32087004496371</v>
      </c>
      <c r="N24">
        <f t="shared" ca="1" si="3"/>
        <v>108.05386501323244</v>
      </c>
      <c r="O24">
        <f t="shared" ca="1" si="2"/>
        <v>103.94896104013374</v>
      </c>
      <c r="P24">
        <f t="shared" ca="1" si="1"/>
        <v>99.999999999999957</v>
      </c>
      <c r="Q24">
        <f t="shared" ca="1" si="0"/>
        <v>96.201057710803695</v>
      </c>
    </row>
    <row r="25" spans="1:17" x14ac:dyDescent="0.25">
      <c r="A25" s="49">
        <v>6</v>
      </c>
      <c r="B25" s="54"/>
      <c r="C25" s="55" t="str">
        <f t="shared" ca="1" si="4"/>
        <v/>
      </c>
      <c r="D25" s="55" t="str">
        <f t="shared" ca="1" si="4"/>
        <v/>
      </c>
      <c r="E25" s="55" t="str">
        <f t="shared" ca="1" si="4"/>
        <v/>
      </c>
      <c r="F25" s="55" t="str">
        <f t="shared" ca="1" si="4"/>
        <v/>
      </c>
      <c r="G25" s="55" t="str">
        <f t="shared" ca="1" si="4"/>
        <v/>
      </c>
      <c r="H25" s="55">
        <f t="shared" ca="1" si="4"/>
        <v>126.15977847657631</v>
      </c>
      <c r="I25" s="55">
        <f t="shared" ca="1" si="4"/>
        <v>121.36704130007335</v>
      </c>
      <c r="J25" s="55">
        <f t="shared" ca="1" si="4"/>
        <v>116.7563774429786</v>
      </c>
      <c r="K25" s="55">
        <f t="shared" ca="1" si="4"/>
        <v>112.32087004496371</v>
      </c>
      <c r="L25" s="55">
        <f t="shared" ca="1" si="4"/>
        <v>108.05386501323244</v>
      </c>
      <c r="M25">
        <f t="shared" ca="1" si="5"/>
        <v>103.94896104013374</v>
      </c>
      <c r="N25">
        <f t="shared" ca="1" si="3"/>
        <v>99.999999999999986</v>
      </c>
      <c r="O25">
        <f t="shared" ca="1" si="2"/>
        <v>96.201057710803724</v>
      </c>
      <c r="P25">
        <f t="shared" ca="1" si="1"/>
        <v>92.546435046773894</v>
      </c>
      <c r="Q25">
        <f t="shared" ca="1" si="0"/>
        <v>89.03064938863848</v>
      </c>
    </row>
    <row r="26" spans="1:17" x14ac:dyDescent="0.25">
      <c r="A26" s="49">
        <v>5</v>
      </c>
      <c r="B26" s="49"/>
      <c r="C26" s="55" t="str">
        <f t="shared" ca="1" si="4"/>
        <v/>
      </c>
      <c r="D26" s="55" t="str">
        <f t="shared" ca="1" si="4"/>
        <v/>
      </c>
      <c r="E26" s="55" t="str">
        <f t="shared" ca="1" si="4"/>
        <v/>
      </c>
      <c r="F26" s="55" t="str">
        <f t="shared" ca="1" si="4"/>
        <v/>
      </c>
      <c r="G26" s="55">
        <f t="shared" ca="1" si="4"/>
        <v>121.36704130007337</v>
      </c>
      <c r="H26" s="55">
        <f t="shared" ca="1" si="4"/>
        <v>116.75637744297862</v>
      </c>
      <c r="I26" s="55">
        <f t="shared" ca="1" si="4"/>
        <v>112.32087004496373</v>
      </c>
      <c r="J26" s="55">
        <f t="shared" ca="1" si="4"/>
        <v>108.05386501323245</v>
      </c>
      <c r="K26" s="55">
        <f t="shared" ca="1" si="4"/>
        <v>103.94896104013375</v>
      </c>
      <c r="L26" s="55">
        <f t="shared" ca="1" si="4"/>
        <v>99.999999999999986</v>
      </c>
      <c r="M26">
        <f t="shared" ca="1" si="5"/>
        <v>96.201057710803752</v>
      </c>
      <c r="N26">
        <f t="shared" ca="1" si="3"/>
        <v>92.546435046773922</v>
      </c>
      <c r="O26">
        <f t="shared" ca="1" si="2"/>
        <v>89.03064938863848</v>
      </c>
      <c r="P26">
        <f t="shared" ca="1" si="1"/>
        <v>85.648426398667468</v>
      </c>
      <c r="Q26">
        <f t="shared" ca="1" si="0"/>
        <v>82.394692108177381</v>
      </c>
    </row>
    <row r="27" spans="1:17" x14ac:dyDescent="0.25">
      <c r="A27" s="49">
        <v>4</v>
      </c>
      <c r="B27" s="49"/>
      <c r="C27" s="55" t="str">
        <f t="shared" ca="1" si="4"/>
        <v/>
      </c>
      <c r="D27" s="55" t="str">
        <f t="shared" ca="1" si="4"/>
        <v/>
      </c>
      <c r="E27" s="55" t="str">
        <f t="shared" ca="1" si="4"/>
        <v/>
      </c>
      <c r="F27" s="55">
        <f t="shared" ca="1" si="4"/>
        <v>116.75637744297862</v>
      </c>
      <c r="G27" s="55">
        <f t="shared" ca="1" si="4"/>
        <v>112.32087004496373</v>
      </c>
      <c r="H27" s="55">
        <f t="shared" ca="1" si="4"/>
        <v>108.05386501323245</v>
      </c>
      <c r="I27" s="55">
        <f t="shared" ca="1" si="4"/>
        <v>103.94896104013375</v>
      </c>
      <c r="J27" s="55">
        <f t="shared" ca="1" si="4"/>
        <v>99.999999999999986</v>
      </c>
      <c r="K27" s="55">
        <f t="shared" ca="1" si="4"/>
        <v>96.201057710803752</v>
      </c>
      <c r="L27" s="55">
        <f t="shared" ca="1" si="4"/>
        <v>92.546435046773951</v>
      </c>
      <c r="M27">
        <f t="shared" ca="1" si="5"/>
        <v>89.030649388638508</v>
      </c>
      <c r="N27">
        <f t="shared" ca="1" si="3"/>
        <v>85.648426398667468</v>
      </c>
      <c r="O27">
        <f t="shared" ca="1" si="2"/>
        <v>82.394692108177381</v>
      </c>
      <c r="P27">
        <f t="shared" ca="1" si="1"/>
        <v>79.264565305626803</v>
      </c>
      <c r="Q27">
        <f t="shared" ca="1" si="0"/>
        <v>76.253350213883763</v>
      </c>
    </row>
    <row r="28" spans="1:17" x14ac:dyDescent="0.25">
      <c r="A28" s="49">
        <v>3</v>
      </c>
      <c r="B28" s="49"/>
      <c r="C28" s="55" t="str">
        <f t="shared" ca="1" si="4"/>
        <v/>
      </c>
      <c r="D28" s="55" t="str">
        <f t="shared" ca="1" si="4"/>
        <v/>
      </c>
      <c r="E28" s="55">
        <f t="shared" ca="1" si="4"/>
        <v>112.32087004496373</v>
      </c>
      <c r="F28" s="55">
        <f t="shared" ca="1" si="4"/>
        <v>108.05386501323245</v>
      </c>
      <c r="G28" s="55">
        <f t="shared" ca="1" si="4"/>
        <v>103.94896104013375</v>
      </c>
      <c r="H28" s="55">
        <f t="shared" ca="1" si="4"/>
        <v>99.999999999999986</v>
      </c>
      <c r="I28" s="55">
        <f t="shared" ca="1" si="4"/>
        <v>96.201057710803752</v>
      </c>
      <c r="J28" s="55">
        <f t="shared" ca="1" si="4"/>
        <v>92.546435046773951</v>
      </c>
      <c r="K28" s="55">
        <f t="shared" ca="1" si="4"/>
        <v>89.030649388638523</v>
      </c>
      <c r="L28" s="55">
        <f t="shared" ca="1" si="4"/>
        <v>85.648426398667496</v>
      </c>
      <c r="M28">
        <f t="shared" ca="1" si="5"/>
        <v>82.394692108177381</v>
      </c>
      <c r="N28">
        <f t="shared" ca="1" si="3"/>
        <v>79.264565305626803</v>
      </c>
      <c r="O28">
        <f t="shared" ca="1" si="2"/>
        <v>76.253350213883778</v>
      </c>
      <c r="P28">
        <f t="shared" ca="1" si="1"/>
        <v>73.356529445679627</v>
      </c>
      <c r="Q28">
        <f t="shared" ca="1" si="0"/>
        <v>70.56975722668102</v>
      </c>
    </row>
    <row r="29" spans="1:17" x14ac:dyDescent="0.25">
      <c r="A29" s="49">
        <v>2</v>
      </c>
      <c r="B29" s="49"/>
      <c r="C29" s="55" t="str">
        <f t="shared" ca="1" si="4"/>
        <v/>
      </c>
      <c r="D29" s="55">
        <f t="shared" ca="1" si="4"/>
        <v>108.05386501323245</v>
      </c>
      <c r="E29" s="55">
        <f t="shared" ca="1" si="4"/>
        <v>103.94896104013375</v>
      </c>
      <c r="F29" s="55">
        <f t="shared" ca="1" si="4"/>
        <v>99.999999999999986</v>
      </c>
      <c r="G29" s="55">
        <f t="shared" ca="1" si="4"/>
        <v>96.201057710803752</v>
      </c>
      <c r="H29" s="55">
        <f t="shared" ca="1" si="4"/>
        <v>92.546435046773951</v>
      </c>
      <c r="I29" s="55">
        <f t="shared" ca="1" si="4"/>
        <v>89.030649388638523</v>
      </c>
      <c r="J29" s="55">
        <f t="shared" ca="1" si="4"/>
        <v>85.648426398667496</v>
      </c>
      <c r="K29" s="55">
        <f t="shared" ca="1" si="4"/>
        <v>82.394692108177395</v>
      </c>
      <c r="L29" s="55">
        <f t="shared" ca="1" si="4"/>
        <v>79.264565305626803</v>
      </c>
      <c r="M29">
        <f t="shared" ca="1" si="5"/>
        <v>76.253350213883778</v>
      </c>
      <c r="N29">
        <f t="shared" ca="1" si="3"/>
        <v>73.356529445679641</v>
      </c>
      <c r="O29">
        <f t="shared" ca="1" si="2"/>
        <v>70.56975722668102</v>
      </c>
      <c r="P29">
        <f t="shared" ca="1" si="1"/>
        <v>67.888852876013516</v>
      </c>
      <c r="Q29">
        <f t="shared" ca="1" si="0"/>
        <v>65.309794534456429</v>
      </c>
    </row>
    <row r="30" spans="1:17" x14ac:dyDescent="0.25">
      <c r="A30" s="49">
        <v>1</v>
      </c>
      <c r="B30" s="49"/>
      <c r="C30" s="55">
        <f ca="1">IF($A30&lt;C$15,$B$9*OFFSET(C30,0,-1),IF($A30=C$15,$B$8*OFFSET(C30,1,-1),""))</f>
        <v>103.94896104013375</v>
      </c>
      <c r="D30" s="55">
        <f t="shared" ca="1" si="4"/>
        <v>99.999999999999986</v>
      </c>
      <c r="E30" s="55">
        <f t="shared" ca="1" si="4"/>
        <v>96.201057710803752</v>
      </c>
      <c r="F30" s="55">
        <f t="shared" ca="1" si="4"/>
        <v>92.546435046773951</v>
      </c>
      <c r="G30" s="55">
        <f t="shared" ca="1" si="4"/>
        <v>89.030649388638523</v>
      </c>
      <c r="H30" s="55">
        <f t="shared" ca="1" si="4"/>
        <v>85.648426398667496</v>
      </c>
      <c r="I30" s="55">
        <f t="shared" ca="1" si="4"/>
        <v>82.394692108177395</v>
      </c>
      <c r="J30" s="55">
        <f t="shared" ca="1" si="4"/>
        <v>79.264565305626803</v>
      </c>
      <c r="K30" s="55">
        <f t="shared" ca="1" si="4"/>
        <v>76.253350213883778</v>
      </c>
      <c r="L30" s="55">
        <f t="shared" ca="1" si="4"/>
        <v>73.356529445679641</v>
      </c>
      <c r="M30">
        <f t="shared" ca="1" si="5"/>
        <v>70.569757226681034</v>
      </c>
      <c r="N30">
        <f t="shared" ca="1" si="3"/>
        <v>67.888852876013516</v>
      </c>
      <c r="O30">
        <f t="shared" ca="1" si="2"/>
        <v>65.309794534456429</v>
      </c>
      <c r="P30">
        <f t="shared" ca="1" si="1"/>
        <v>62.828713130899793</v>
      </c>
      <c r="Q30">
        <f t="shared" ca="1" si="0"/>
        <v>60.441886578012252</v>
      </c>
    </row>
    <row r="31" spans="1:17" x14ac:dyDescent="0.25">
      <c r="A31" s="49">
        <v>0</v>
      </c>
      <c r="B31" s="55">
        <f>$B$2</f>
        <v>100</v>
      </c>
      <c r="C31" s="55">
        <f ca="1">IF($A31&lt;C$15,$B$9*OFFSET(C31,0,-1),IF($A31=C$15,$B$8*OFFSET(C31,1,-1),""))</f>
        <v>96.201057710803767</v>
      </c>
      <c r="D31" s="55">
        <f t="shared" ca="1" si="4"/>
        <v>92.546435046773965</v>
      </c>
      <c r="E31" s="55">
        <f t="shared" ca="1" si="4"/>
        <v>89.030649388638537</v>
      </c>
      <c r="F31" s="55">
        <f t="shared" ca="1" si="4"/>
        <v>85.64842639866751</v>
      </c>
      <c r="G31" s="55">
        <f t="shared" ca="1" si="4"/>
        <v>82.394692108177409</v>
      </c>
      <c r="H31" s="55">
        <f t="shared" ca="1" si="4"/>
        <v>79.264565305626817</v>
      </c>
      <c r="I31" s="55">
        <f t="shared" ca="1" si="4"/>
        <v>76.253350213883792</v>
      </c>
      <c r="J31" s="55">
        <f t="shared" ca="1" si="4"/>
        <v>73.356529445679655</v>
      </c>
      <c r="K31" s="55">
        <f t="shared" ca="1" si="4"/>
        <v>70.569757226681034</v>
      </c>
      <c r="L31" s="55">
        <f t="shared" ca="1" si="4"/>
        <v>67.88885287601353</v>
      </c>
      <c r="M31" s="62">
        <f ca="1">L31*$B$9</f>
        <v>65.309794534456429</v>
      </c>
      <c r="N31" s="62">
        <f ca="1">M31*$B$9</f>
        <v>62.828713130899793</v>
      </c>
      <c r="O31" s="62">
        <f t="shared" ref="O31:Q31" ca="1" si="6">N31*$B$9</f>
        <v>60.441886578012252</v>
      </c>
      <c r="P31" s="62">
        <f t="shared" ca="1" si="6"/>
        <v>58.145734188412121</v>
      </c>
      <c r="Q31" s="62">
        <f t="shared" ca="1" si="6"/>
        <v>55.936811302964898</v>
      </c>
    </row>
    <row r="34" spans="1:17" x14ac:dyDescent="0.25">
      <c r="A34" s="60" t="s">
        <v>39</v>
      </c>
    </row>
    <row r="35" spans="1:17" x14ac:dyDescent="0.25">
      <c r="A35" s="49"/>
      <c r="B35" s="54">
        <v>0</v>
      </c>
      <c r="C35" s="54">
        <v>1</v>
      </c>
      <c r="D35" s="54">
        <v>2</v>
      </c>
      <c r="E35" s="54">
        <v>3</v>
      </c>
      <c r="F35" s="54">
        <v>4</v>
      </c>
      <c r="G35" s="54">
        <v>5</v>
      </c>
      <c r="H35" s="54">
        <v>6</v>
      </c>
      <c r="I35" s="54">
        <v>7</v>
      </c>
      <c r="J35" s="54">
        <v>8</v>
      </c>
      <c r="K35" s="54">
        <v>9</v>
      </c>
      <c r="L35" s="49">
        <v>10</v>
      </c>
      <c r="M35" s="61">
        <v>11</v>
      </c>
      <c r="N35" s="61">
        <v>12</v>
      </c>
      <c r="O35" s="61">
        <v>13</v>
      </c>
      <c r="P35" s="61">
        <v>14</v>
      </c>
      <c r="Q35" s="61">
        <v>15</v>
      </c>
    </row>
    <row r="36" spans="1:17" x14ac:dyDescent="0.25">
      <c r="A36">
        <v>15</v>
      </c>
      <c r="Q36">
        <f ca="1">MAX(Q16-$G$3,0)</f>
        <v>78.773150758236852</v>
      </c>
    </row>
    <row r="37" spans="1:17" x14ac:dyDescent="0.25">
      <c r="A37">
        <v>14</v>
      </c>
      <c r="P37">
        <f ca="1">$B$13*($B$10*Q36+ $B$11*Q37)</f>
        <v>71.986328488928095</v>
      </c>
      <c r="Q37">
        <f t="shared" ref="Q37:Q51" ca="1" si="7">MAX(Q17-$G$3,0)</f>
        <v>65.448177847542979</v>
      </c>
    </row>
    <row r="38" spans="1:17" x14ac:dyDescent="0.25">
      <c r="A38">
        <v>13</v>
      </c>
      <c r="O38">
        <f ca="1">$B$13*($B$10*P37+ $B$11*P38)</f>
        <v>65.45968209485325</v>
      </c>
      <c r="P38">
        <f t="shared" ref="P38:P51" ca="1" si="8">$B$13*($B$10*Q37+ $B$11*Q38)</f>
        <v>59.169699891947303</v>
      </c>
      <c r="Q38">
        <f t="shared" ca="1" si="7"/>
        <v>53.116390447747449</v>
      </c>
    </row>
    <row r="39" spans="1:17" x14ac:dyDescent="0.25">
      <c r="A39">
        <v>12</v>
      </c>
      <c r="N39">
        <f ca="1">$B$13*($B$10*O38+ $B$11*O39)</f>
        <v>59.183285512770915</v>
      </c>
      <c r="O39">
        <f t="shared" ref="O39:O51" ca="1" si="9">$B$13*($B$10*P38+ $B$11*P39)</f>
        <v>53.132004605834453</v>
      </c>
      <c r="P39">
        <f t="shared" ca="1" si="8"/>
        <v>47.308367032256193</v>
      </c>
      <c r="Q39">
        <f t="shared" ca="1" si="7"/>
        <v>41.70376083168938</v>
      </c>
    </row>
    <row r="40" spans="1:17" x14ac:dyDescent="0.25">
      <c r="A40">
        <v>11</v>
      </c>
      <c r="M40">
        <f ca="1">$B$13*($B$10*N39+ $B$11*N40)</f>
        <v>53.14759135635753</v>
      </c>
      <c r="N40">
        <f t="shared" ref="N40:N51" ca="1" si="10">$B$13*($B$10*O39+ $B$11*O40)</f>
        <v>47.325905771809978</v>
      </c>
      <c r="O40">
        <f t="shared" ca="1" si="9"/>
        <v>41.723178565683888</v>
      </c>
      <c r="P40">
        <f t="shared" ca="1" si="8"/>
        <v>36.331126321580498</v>
      </c>
      <c r="Q40">
        <f t="shared" ca="1" si="7"/>
        <v>31.141778976935342</v>
      </c>
    </row>
    <row r="41" spans="1:17" x14ac:dyDescent="0.25">
      <c r="A41" s="49">
        <v>10</v>
      </c>
      <c r="B41" s="54"/>
      <c r="C41" s="55" t="str">
        <f t="shared" ref="C41:K49" ca="1" si="11">IF($A41&lt;C$15,$B$9*OFFSET(C41,0,-1),IF($A41=C$15,$B$8*OFFSET(C41,1,-1),""))</f>
        <v/>
      </c>
      <c r="D41" s="55" t="str">
        <f t="shared" ca="1" si="11"/>
        <v/>
      </c>
      <c r="E41" s="55" t="str">
        <f t="shared" ca="1" si="11"/>
        <v/>
      </c>
      <c r="F41" s="55" t="str">
        <f t="shared" ca="1" si="11"/>
        <v/>
      </c>
      <c r="G41" s="55" t="str">
        <f t="shared" ca="1" si="11"/>
        <v/>
      </c>
      <c r="H41" s="55" t="str">
        <f t="shared" ca="1" si="11"/>
        <v/>
      </c>
      <c r="I41" s="55" t="str">
        <f t="shared" ca="1" si="11"/>
        <v/>
      </c>
      <c r="J41" s="55" t="str">
        <f t="shared" ca="1" si="11"/>
        <v/>
      </c>
      <c r="K41" s="55" t="str">
        <f t="shared" ca="1" si="11"/>
        <v/>
      </c>
      <c r="L41" s="55">
        <f ca="1">$B$13*($B$10*M40+ $B$11*M41)</f>
        <v>47.343416469779591</v>
      </c>
      <c r="M41">
        <f t="shared" ref="M41:M51" ca="1" si="12">$B$13*($B$10*N40+ $B$11*N41)</f>
        <v>41.742567624467107</v>
      </c>
      <c r="N41">
        <f t="shared" ca="1" si="10"/>
        <v>36.352323531592234</v>
      </c>
      <c r="O41">
        <f t="shared" ca="1" si="9"/>
        <v>31.164716784836521</v>
      </c>
      <c r="P41">
        <f t="shared" ca="1" si="8"/>
        <v>26.172081377347009</v>
      </c>
      <c r="Q41">
        <f t="shared" ca="1" si="7"/>
        <v>21.367041300073353</v>
      </c>
    </row>
    <row r="42" spans="1:17" x14ac:dyDescent="0.25">
      <c r="A42" s="49">
        <v>9</v>
      </c>
      <c r="B42" s="54"/>
      <c r="C42" s="55" t="str">
        <f t="shared" ca="1" si="11"/>
        <v/>
      </c>
      <c r="D42" s="55" t="str">
        <f t="shared" ca="1" si="11"/>
        <v/>
      </c>
      <c r="E42" s="55" t="str">
        <f t="shared" ca="1" si="11"/>
        <v/>
      </c>
      <c r="F42" s="55" t="str">
        <f t="shared" ca="1" si="11"/>
        <v/>
      </c>
      <c r="G42" s="55" t="str">
        <f t="shared" ca="1" si="11"/>
        <v/>
      </c>
      <c r="H42" s="55" t="str">
        <f t="shared" ca="1" si="11"/>
        <v/>
      </c>
      <c r="I42" s="55" t="str">
        <f t="shared" ca="1" si="11"/>
        <v/>
      </c>
      <c r="J42" s="55" t="str">
        <f t="shared" ca="1" si="11"/>
        <v/>
      </c>
      <c r="K42" s="55">
        <f ca="1">$B$13*($B$10*L41+ $B$11*L42)</f>
        <v>41.761928032393392</v>
      </c>
      <c r="L42" s="55">
        <f t="shared" ref="L42:L51" ca="1" si="13">$B$13*($B$10*M41+ $B$11*M42)</f>
        <v>36.373491480732859</v>
      </c>
      <c r="M42">
        <f t="shared" ca="1" si="12"/>
        <v>31.187624744363987</v>
      </c>
      <c r="N42">
        <f t="shared" ca="1" si="10"/>
        <v>26.196664371344809</v>
      </c>
      <c r="O42">
        <f t="shared" ca="1" si="9"/>
        <v>21.393236810886169</v>
      </c>
      <c r="P42">
        <f t="shared" ca="1" si="8"/>
        <v>16.770247446659386</v>
      </c>
      <c r="Q42">
        <f t="shared" ca="1" si="7"/>
        <v>12.320870044963712</v>
      </c>
    </row>
    <row r="43" spans="1:17" x14ac:dyDescent="0.25">
      <c r="A43" s="49">
        <v>8</v>
      </c>
      <c r="B43" s="54"/>
      <c r="C43" s="55" t="str">
        <f t="shared" ca="1" si="11"/>
        <v/>
      </c>
      <c r="D43" s="55" t="str">
        <f t="shared" ca="1" si="11"/>
        <v/>
      </c>
      <c r="E43" s="55" t="str">
        <f t="shared" ca="1" si="11"/>
        <v/>
      </c>
      <c r="F43" s="55" t="str">
        <f t="shared" ca="1" si="11"/>
        <v/>
      </c>
      <c r="G43" s="55" t="str">
        <f t="shared" ca="1" si="11"/>
        <v/>
      </c>
      <c r="H43" s="55" t="str">
        <f t="shared" ca="1" si="11"/>
        <v/>
      </c>
      <c r="I43" s="55" t="str">
        <f t="shared" ca="1" si="11"/>
        <v/>
      </c>
      <c r="J43" s="55">
        <f ca="1">$B$13*($B$10*K42+ $B$11*K43)</f>
        <v>36.394630193546995</v>
      </c>
      <c r="K43" s="55">
        <f t="shared" ref="K43:K51" ca="1" si="14">$B$13*($B$10*L42+ $B$11*L43)</f>
        <v>31.210502880263071</v>
      </c>
      <c r="L43" s="55">
        <f t="shared" ca="1" si="13"/>
        <v>26.22121697606492</v>
      </c>
      <c r="M43">
        <f t="shared" ca="1" si="12"/>
        <v>21.419401387605266</v>
      </c>
      <c r="N43">
        <f t="shared" ca="1" si="10"/>
        <v>16.797963863034667</v>
      </c>
      <c r="O43">
        <f t="shared" ca="1" si="9"/>
        <v>12.35008044368567</v>
      </c>
      <c r="P43">
        <f t="shared" ca="1" si="8"/>
        <v>8.0691853147899852</v>
      </c>
      <c r="Q43">
        <f t="shared" ca="1" si="7"/>
        <v>3.9489610401337103</v>
      </c>
    </row>
    <row r="44" spans="1:17" x14ac:dyDescent="0.25">
      <c r="A44" s="49">
        <v>7</v>
      </c>
      <c r="B44" s="54"/>
      <c r="C44" s="55" t="str">
        <f t="shared" ca="1" si="11"/>
        <v/>
      </c>
      <c r="D44" s="55" t="str">
        <f t="shared" ca="1" si="11"/>
        <v/>
      </c>
      <c r="E44" s="55" t="str">
        <f t="shared" ca="1" si="11"/>
        <v/>
      </c>
      <c r="F44" s="55" t="str">
        <f t="shared" ca="1" si="11"/>
        <v/>
      </c>
      <c r="G44" s="55" t="str">
        <f t="shared" ca="1" si="11"/>
        <v/>
      </c>
      <c r="H44" s="55" t="str">
        <f t="shared" ca="1" si="11"/>
        <v/>
      </c>
      <c r="I44" s="55">
        <f ca="1">$B$13*($B$10*J43+ $B$11*J44)</f>
        <v>31.250031291459599</v>
      </c>
      <c r="J44" s="55">
        <f t="shared" ref="J44:J51" ca="1" si="15">$B$13*($B$10*K43+ $B$11*K44)</f>
        <v>26.278615375107165</v>
      </c>
      <c r="K44" s="55">
        <f t="shared" ca="1" si="14"/>
        <v>21.510333436725627</v>
      </c>
      <c r="L44" s="55">
        <f t="shared" ca="1" si="13"/>
        <v>16.953365416112117</v>
      </c>
      <c r="M44">
        <f t="shared" ca="1" si="12"/>
        <v>12.630986214829869</v>
      </c>
      <c r="N44">
        <f t="shared" ca="1" si="10"/>
        <v>8.5959520944891228</v>
      </c>
      <c r="O44">
        <f t="shared" ca="1" si="9"/>
        <v>4.9588662723019974</v>
      </c>
      <c r="P44">
        <f t="shared" ca="1" si="8"/>
        <v>1.9440969030304724</v>
      </c>
      <c r="Q44">
        <f t="shared" ca="1" si="7"/>
        <v>0</v>
      </c>
    </row>
    <row r="45" spans="1:17" x14ac:dyDescent="0.25">
      <c r="A45" s="49">
        <v>6</v>
      </c>
      <c r="B45" s="54"/>
      <c r="C45" s="55" t="str">
        <f t="shared" ca="1" si="11"/>
        <v/>
      </c>
      <c r="D45" s="55" t="str">
        <f t="shared" ca="1" si="11"/>
        <v/>
      </c>
      <c r="E45" s="55" t="str">
        <f t="shared" ca="1" si="11"/>
        <v/>
      </c>
      <c r="F45" s="55" t="str">
        <f t="shared" ca="1" si="11"/>
        <v/>
      </c>
      <c r="G45" s="55" t="str">
        <f t="shared" ca="1" si="11"/>
        <v/>
      </c>
      <c r="H45" s="55">
        <f t="shared" ref="H45:H51" ca="1" si="16">$B$13*($B$10*I44+ $B$11*I45)</f>
        <v>26.368572579450387</v>
      </c>
      <c r="I45" s="55">
        <f t="shared" ref="I45:I50" ca="1" si="17">$B$13*($B$10*J44+ $B$11*J45)</f>
        <v>21.649282155909379</v>
      </c>
      <c r="J45" s="55">
        <f t="shared" ca="1" si="15"/>
        <v>17.17153589215566</v>
      </c>
      <c r="K45" s="55">
        <f t="shared" ca="1" si="14"/>
        <v>12.972762894289348</v>
      </c>
      <c r="L45" s="55">
        <f t="shared" ca="1" si="13"/>
        <v>9.1187981129838871</v>
      </c>
      <c r="M45">
        <f t="shared" ca="1" si="12"/>
        <v>5.7168169128275554</v>
      </c>
      <c r="N45">
        <f t="shared" ca="1" si="10"/>
        <v>2.926869389265268</v>
      </c>
      <c r="O45">
        <f t="shared" ca="1" si="9"/>
        <v>0.95709041693779329</v>
      </c>
      <c r="P45">
        <f t="shared" ca="1" si="8"/>
        <v>0</v>
      </c>
      <c r="Q45">
        <f t="shared" ca="1" si="7"/>
        <v>0</v>
      </c>
    </row>
    <row r="46" spans="1:17" x14ac:dyDescent="0.25">
      <c r="A46" s="49">
        <v>5</v>
      </c>
      <c r="B46" s="49"/>
      <c r="C46" s="55" t="str">
        <f t="shared" ca="1" si="11"/>
        <v/>
      </c>
      <c r="D46" s="55" t="str">
        <f t="shared" ca="1" si="11"/>
        <v/>
      </c>
      <c r="E46" s="55" t="str">
        <f t="shared" ca="1" si="11"/>
        <v/>
      </c>
      <c r="F46" s="55" t="str">
        <f t="shared" ca="1" si="11"/>
        <v/>
      </c>
      <c r="G46" s="55">
        <f t="shared" ref="G46:G51" ca="1" si="18">$B$13*($B$10*H45+ $B$11*H46)</f>
        <v>21.819828688065133</v>
      </c>
      <c r="H46" s="55">
        <f t="shared" ca="1" si="16"/>
        <v>17.420392460431355</v>
      </c>
      <c r="I46" s="55">
        <f t="shared" ca="1" si="17"/>
        <v>13.328429494346162</v>
      </c>
      <c r="J46" s="55">
        <f t="shared" ca="1" si="15"/>
        <v>9.608114556821862</v>
      </c>
      <c r="K46" s="55">
        <f t="shared" ca="1" si="14"/>
        <v>6.3496166092120285</v>
      </c>
      <c r="L46" s="55">
        <f t="shared" ca="1" si="13"/>
        <v>3.6667757928995477</v>
      </c>
      <c r="M46">
        <f t="shared" ca="1" si="12"/>
        <v>1.6799740425318774</v>
      </c>
      <c r="N46">
        <f t="shared" ca="1" si="10"/>
        <v>0.47118127947545052</v>
      </c>
      <c r="O46">
        <f t="shared" ca="1" si="9"/>
        <v>0</v>
      </c>
      <c r="P46">
        <f t="shared" ca="1" si="8"/>
        <v>0</v>
      </c>
      <c r="Q46">
        <f t="shared" ca="1" si="7"/>
        <v>0</v>
      </c>
    </row>
    <row r="47" spans="1:17" x14ac:dyDescent="0.25">
      <c r="A47" s="49">
        <v>4</v>
      </c>
      <c r="B47" s="49"/>
      <c r="C47" s="55" t="str">
        <f t="shared" ca="1" si="11"/>
        <v/>
      </c>
      <c r="D47" s="55" t="str">
        <f t="shared" ca="1" si="11"/>
        <v/>
      </c>
      <c r="E47" s="55" t="str">
        <f t="shared" ca="1" si="11"/>
        <v/>
      </c>
      <c r="F47" s="55">
        <f ca="1">$B$13*($B$10*G46+ $B$11*G47)</f>
        <v>17.684012401736382</v>
      </c>
      <c r="G47" s="55">
        <f t="shared" ca="1" si="18"/>
        <v>13.682534252425043</v>
      </c>
      <c r="H47" s="55">
        <f t="shared" ca="1" si="16"/>
        <v>10.064577089094103</v>
      </c>
      <c r="I47" s="55">
        <f t="shared" ca="1" si="17"/>
        <v>6.9041840069043587</v>
      </c>
      <c r="J47" s="55">
        <f t="shared" ca="1" si="15"/>
        <v>4.2850222448027173</v>
      </c>
      <c r="K47" s="55">
        <f t="shared" ca="1" si="14"/>
        <v>2.2845052042269556</v>
      </c>
      <c r="L47" s="55">
        <f t="shared" ca="1" si="13"/>
        <v>0.94475128635225269</v>
      </c>
      <c r="M47">
        <f t="shared" ca="1" si="12"/>
        <v>0.23196533389023832</v>
      </c>
      <c r="N47">
        <f t="shared" ca="1" si="10"/>
        <v>0</v>
      </c>
      <c r="O47">
        <f t="shared" ca="1" si="9"/>
        <v>0</v>
      </c>
      <c r="P47">
        <f t="shared" ca="1" si="8"/>
        <v>0</v>
      </c>
      <c r="Q47">
        <f t="shared" ca="1" si="7"/>
        <v>0</v>
      </c>
    </row>
    <row r="48" spans="1:17" x14ac:dyDescent="0.25">
      <c r="A48" s="49">
        <v>3</v>
      </c>
      <c r="B48" s="49"/>
      <c r="C48" s="55" t="str">
        <f t="shared" ca="1" si="11"/>
        <v/>
      </c>
      <c r="D48" s="55" t="str">
        <f t="shared" ca="1" si="11"/>
        <v/>
      </c>
      <c r="E48" s="55">
        <f ca="1">$B$13*($B$10*F47+ $B$11*F48)</f>
        <v>14.029404255649546</v>
      </c>
      <c r="F48" s="55">
        <f t="shared" ref="F48:F51" ca="1" si="19">$B$13*($B$10*G47+ $B$11*G48)</f>
        <v>10.492454735051165</v>
      </c>
      <c r="G48" s="55">
        <f t="shared" ca="1" si="18"/>
        <v>7.403926549757796</v>
      </c>
      <c r="H48" s="55">
        <f t="shared" ca="1" si="16"/>
        <v>4.8270888271390673</v>
      </c>
      <c r="I48" s="55">
        <f t="shared" ca="1" si="17"/>
        <v>2.8147979824762284</v>
      </c>
      <c r="J48" s="55">
        <f t="shared" ca="1" si="15"/>
        <v>1.3900485752779361</v>
      </c>
      <c r="K48" s="55">
        <f t="shared" ca="1" si="14"/>
        <v>0.52304619419124421</v>
      </c>
      <c r="L48" s="55">
        <f t="shared" ca="1" si="13"/>
        <v>0.11419790740988733</v>
      </c>
      <c r="M48">
        <f t="shared" ca="1" si="12"/>
        <v>0</v>
      </c>
      <c r="N48">
        <f t="shared" ca="1" si="10"/>
        <v>0</v>
      </c>
      <c r="O48">
        <f t="shared" ca="1" si="9"/>
        <v>0</v>
      </c>
      <c r="P48">
        <f t="shared" ca="1" si="8"/>
        <v>0</v>
      </c>
      <c r="Q48">
        <f t="shared" ca="1" si="7"/>
        <v>0</v>
      </c>
    </row>
    <row r="49" spans="1:17" x14ac:dyDescent="0.25">
      <c r="A49" s="49">
        <v>2</v>
      </c>
      <c r="B49" s="49"/>
      <c r="C49" s="55" t="str">
        <f t="shared" ca="1" si="11"/>
        <v/>
      </c>
      <c r="D49" s="55">
        <f ca="1">$B$13*($B$10*E48+ $B$11*E49)</f>
        <v>10.895878204485182</v>
      </c>
      <c r="E49" s="55">
        <f t="shared" ref="E49:E51" ca="1" si="20">$B$13*($B$10*F48+ $B$11*F49)</f>
        <v>7.8624903814627345</v>
      </c>
      <c r="F49" s="55">
        <f t="shared" ca="1" si="19"/>
        <v>5.3157295194444112</v>
      </c>
      <c r="G49" s="55">
        <f t="shared" ca="1" si="18"/>
        <v>3.2929872294481837</v>
      </c>
      <c r="H49" s="55">
        <f t="shared" ca="1" si="16"/>
        <v>1.8065700297688847</v>
      </c>
      <c r="I49" s="55">
        <f t="shared" ca="1" si="17"/>
        <v>0.82944585978644547</v>
      </c>
      <c r="J49" s="55">
        <f t="shared" ca="1" si="15"/>
        <v>0.28602271800141837</v>
      </c>
      <c r="K49" s="55">
        <f t="shared" ca="1" si="14"/>
        <v>5.6220306017657089E-2</v>
      </c>
      <c r="L49" s="55">
        <f t="shared" ca="1" si="13"/>
        <v>0</v>
      </c>
      <c r="M49">
        <f t="shared" ca="1" si="12"/>
        <v>0</v>
      </c>
      <c r="N49">
        <f t="shared" ca="1" si="10"/>
        <v>0</v>
      </c>
      <c r="O49">
        <f t="shared" ca="1" si="9"/>
        <v>0</v>
      </c>
      <c r="P49">
        <f t="shared" ca="1" si="8"/>
        <v>0</v>
      </c>
      <c r="Q49">
        <f t="shared" ca="1" si="7"/>
        <v>0</v>
      </c>
    </row>
    <row r="50" spans="1:17" x14ac:dyDescent="0.25">
      <c r="A50" s="49">
        <v>1</v>
      </c>
      <c r="B50" s="49"/>
      <c r="C50" s="55">
        <f ca="1">$B$13*($B$10*D49+ $B$11*D50)</f>
        <v>8.2886474924739328</v>
      </c>
      <c r="D50" s="55">
        <f t="shared" ref="D50:D51" ca="1" si="21">$B$13*($B$10*E49+ $B$11*E50)</f>
        <v>5.7642256346477909</v>
      </c>
      <c r="E50" s="55">
        <f t="shared" ca="1" si="20"/>
        <v>3.7320089772042344</v>
      </c>
      <c r="F50" s="55">
        <f t="shared" ca="1" si="19"/>
        <v>2.197733559130886</v>
      </c>
      <c r="G50" s="55">
        <f t="shared" ca="1" si="18"/>
        <v>1.1364229287578023</v>
      </c>
      <c r="H50" s="55">
        <f t="shared" ca="1" si="16"/>
        <v>0.48690755260732327</v>
      </c>
      <c r="I50" s="55">
        <f t="shared" ca="1" si="17"/>
        <v>0.15485320169907318</v>
      </c>
      <c r="J50" s="55">
        <f t="shared" ca="1" si="15"/>
        <v>2.7677589549643115E-2</v>
      </c>
      <c r="K50" s="55">
        <f t="shared" ca="1" si="14"/>
        <v>0</v>
      </c>
      <c r="L50" s="55">
        <f t="shared" ca="1" si="13"/>
        <v>0</v>
      </c>
      <c r="M50">
        <f t="shared" ca="1" si="12"/>
        <v>0</v>
      </c>
      <c r="N50">
        <f t="shared" ca="1" si="10"/>
        <v>0</v>
      </c>
      <c r="O50">
        <f t="shared" ca="1" si="9"/>
        <v>0</v>
      </c>
      <c r="P50">
        <f t="shared" ca="1" si="8"/>
        <v>0</v>
      </c>
      <c r="Q50">
        <f t="shared" ca="1" si="7"/>
        <v>0</v>
      </c>
    </row>
    <row r="51" spans="1:17" x14ac:dyDescent="0.25">
      <c r="A51" s="49">
        <v>0</v>
      </c>
      <c r="B51" s="55">
        <f ca="1">$B$13*($B$10*C50+ $B$11*C51)</f>
        <v>6.1811204218573241</v>
      </c>
      <c r="C51" s="55">
        <f ca="1">$B$13*($B$10*D50+ $B$11*D51)</f>
        <v>4.1401901328645678</v>
      </c>
      <c r="D51" s="55">
        <f t="shared" ca="1" si="21"/>
        <v>2.5670641462151584</v>
      </c>
      <c r="E51" s="55">
        <f t="shared" ca="1" si="20"/>
        <v>1.4383729036243114</v>
      </c>
      <c r="F51" s="55">
        <f t="shared" ca="1" si="19"/>
        <v>0.70248954665961538</v>
      </c>
      <c r="G51" s="55">
        <f t="shared" ca="1" si="18"/>
        <v>0.28189369276277249</v>
      </c>
      <c r="H51" s="55">
        <f t="shared" ca="1" si="16"/>
        <v>8.3148365844163019E-2</v>
      </c>
      <c r="I51" s="55">
        <f ca="1">$B$13*($B$10*J50+ $B$11*J51)</f>
        <v>1.3625841222527694E-2</v>
      </c>
      <c r="J51" s="55">
        <f t="shared" ca="1" si="15"/>
        <v>0</v>
      </c>
      <c r="K51" s="55">
        <f t="shared" ca="1" si="14"/>
        <v>0</v>
      </c>
      <c r="L51" s="55">
        <f t="shared" ca="1" si="13"/>
        <v>0</v>
      </c>
      <c r="M51">
        <f t="shared" ca="1" si="12"/>
        <v>0</v>
      </c>
      <c r="N51">
        <f t="shared" ca="1" si="10"/>
        <v>0</v>
      </c>
      <c r="O51">
        <f t="shared" ca="1" si="9"/>
        <v>0</v>
      </c>
      <c r="P51">
        <f t="shared" ca="1" si="8"/>
        <v>0</v>
      </c>
      <c r="Q51">
        <f t="shared" ca="1" si="7"/>
        <v>0</v>
      </c>
    </row>
    <row r="54" spans="1:17" x14ac:dyDescent="0.25">
      <c r="A54" s="60" t="s">
        <v>40</v>
      </c>
    </row>
    <row r="55" spans="1:17" x14ac:dyDescent="0.25">
      <c r="A55" s="49"/>
      <c r="B55" s="54">
        <v>0</v>
      </c>
      <c r="C55" s="54">
        <v>1</v>
      </c>
      <c r="D55" s="54">
        <v>2</v>
      </c>
      <c r="E55" s="54">
        <v>3</v>
      </c>
      <c r="F55" s="54">
        <v>4</v>
      </c>
      <c r="G55" s="54">
        <v>5</v>
      </c>
      <c r="H55" s="54">
        <v>6</v>
      </c>
      <c r="I55" s="54">
        <v>7</v>
      </c>
      <c r="J55" s="54">
        <v>8</v>
      </c>
      <c r="K55" s="54">
        <v>9</v>
      </c>
      <c r="L55" s="49">
        <v>10</v>
      </c>
      <c r="M55" s="61">
        <v>11</v>
      </c>
      <c r="N55" s="61">
        <v>12</v>
      </c>
      <c r="O55" s="61">
        <v>13</v>
      </c>
      <c r="P55" s="61">
        <v>14</v>
      </c>
      <c r="Q55" s="61">
        <v>15</v>
      </c>
    </row>
    <row r="56" spans="1:17" x14ac:dyDescent="0.25">
      <c r="A56">
        <v>15</v>
      </c>
      <c r="Q56">
        <f ca="1">MAX(-Q16+$G$3,0)</f>
        <v>0</v>
      </c>
    </row>
    <row r="57" spans="1:17" x14ac:dyDescent="0.25">
      <c r="A57">
        <v>14</v>
      </c>
      <c r="P57">
        <f ca="1">$B$13*($B$10*Q56+ $B$11*Q57)</f>
        <v>0</v>
      </c>
      <c r="Q57">
        <f t="shared" ref="Q57:Q71" ca="1" si="22">MAX(-Q17+$G$3,0)</f>
        <v>0</v>
      </c>
    </row>
    <row r="58" spans="1:17" x14ac:dyDescent="0.25">
      <c r="A58">
        <v>13</v>
      </c>
      <c r="O58">
        <f ca="1">$B$13*($B$10*P57+ $B$11*P58)</f>
        <v>0</v>
      </c>
      <c r="P58">
        <f t="shared" ref="P58:P71" ca="1" si="23">$B$13*($B$10*Q57+ $B$11*Q58)</f>
        <v>0</v>
      </c>
      <c r="Q58">
        <f t="shared" ca="1" si="22"/>
        <v>0</v>
      </c>
    </row>
    <row r="59" spans="1:17" x14ac:dyDescent="0.25">
      <c r="A59">
        <v>12</v>
      </c>
      <c r="N59">
        <f ca="1">$B$13*($B$10*O58+ $B$11*O59)</f>
        <v>0</v>
      </c>
      <c r="O59">
        <f t="shared" ref="O59:O71" ca="1" si="24">$B$13*($B$10*P58+ $B$11*P59)</f>
        <v>0</v>
      </c>
      <c r="P59">
        <f t="shared" ca="1" si="23"/>
        <v>0</v>
      </c>
      <c r="Q59">
        <f t="shared" ca="1" si="22"/>
        <v>0</v>
      </c>
    </row>
    <row r="60" spans="1:17" x14ac:dyDescent="0.25">
      <c r="A60">
        <v>11</v>
      </c>
      <c r="M60">
        <f ca="1">$B$13*($B$10*N59+ $B$11*N60)</f>
        <v>0</v>
      </c>
      <c r="N60">
        <f t="shared" ref="N60:N71" ca="1" si="25">$B$13*($B$10*O59+ $B$11*O60)</f>
        <v>0</v>
      </c>
      <c r="O60">
        <f t="shared" ca="1" si="24"/>
        <v>0</v>
      </c>
      <c r="P60">
        <f t="shared" ca="1" si="23"/>
        <v>0</v>
      </c>
      <c r="Q60">
        <f t="shared" ca="1" si="22"/>
        <v>0</v>
      </c>
    </row>
    <row r="61" spans="1:17" x14ac:dyDescent="0.25">
      <c r="A61" s="49">
        <v>10</v>
      </c>
      <c r="B61" s="54"/>
      <c r="C61" s="55" t="str">
        <f t="shared" ref="C61:K69" ca="1" si="26">IF($A61&lt;C$15,$B$9*OFFSET(C61,0,-1),IF($A61=C$15,$B$8*OFFSET(C61,1,-1),""))</f>
        <v/>
      </c>
      <c r="D61" s="55" t="str">
        <f t="shared" ca="1" si="26"/>
        <v/>
      </c>
      <c r="E61" s="55" t="str">
        <f t="shared" ca="1" si="26"/>
        <v/>
      </c>
      <c r="F61" s="55" t="str">
        <f t="shared" ca="1" si="26"/>
        <v/>
      </c>
      <c r="G61" s="55" t="str">
        <f t="shared" ca="1" si="26"/>
        <v/>
      </c>
      <c r="H61" s="55" t="str">
        <f t="shared" ca="1" si="26"/>
        <v/>
      </c>
      <c r="I61" s="55" t="str">
        <f t="shared" ca="1" si="26"/>
        <v/>
      </c>
      <c r="J61" s="55" t="str">
        <f t="shared" ca="1" si="26"/>
        <v/>
      </c>
      <c r="K61" s="55" t="str">
        <f t="shared" ca="1" si="26"/>
        <v/>
      </c>
      <c r="L61" s="55">
        <f ca="1">$B$13*($B$10*M60+ $B$11*M61)</f>
        <v>0</v>
      </c>
      <c r="M61">
        <f t="shared" ref="M61:M71" ca="1" si="27">$B$13*($B$10*N60+ $B$11*N61)</f>
        <v>0</v>
      </c>
      <c r="N61">
        <f t="shared" ca="1" si="25"/>
        <v>0</v>
      </c>
      <c r="O61">
        <f t="shared" ca="1" si="24"/>
        <v>0</v>
      </c>
      <c r="P61">
        <f t="shared" ca="1" si="23"/>
        <v>0</v>
      </c>
      <c r="Q61">
        <f t="shared" ca="1" si="22"/>
        <v>0</v>
      </c>
    </row>
    <row r="62" spans="1:17" x14ac:dyDescent="0.25">
      <c r="A62" s="49">
        <v>9</v>
      </c>
      <c r="B62" s="54"/>
      <c r="C62" s="55" t="str">
        <f t="shared" ca="1" si="26"/>
        <v/>
      </c>
      <c r="D62" s="55" t="str">
        <f t="shared" ca="1" si="26"/>
        <v/>
      </c>
      <c r="E62" s="55" t="str">
        <f t="shared" ca="1" si="26"/>
        <v/>
      </c>
      <c r="F62" s="55" t="str">
        <f t="shared" ca="1" si="26"/>
        <v/>
      </c>
      <c r="G62" s="55" t="str">
        <f t="shared" ca="1" si="26"/>
        <v/>
      </c>
      <c r="H62" s="55" t="str">
        <f t="shared" ca="1" si="26"/>
        <v/>
      </c>
      <c r="I62" s="55" t="str">
        <f t="shared" ca="1" si="26"/>
        <v/>
      </c>
      <c r="J62" s="55" t="str">
        <f t="shared" ca="1" si="26"/>
        <v/>
      </c>
      <c r="K62" s="55">
        <f ca="1">$B$13*($B$10*L61+ $B$11*L62)</f>
        <v>0</v>
      </c>
      <c r="L62" s="55">
        <f t="shared" ref="L62:L71" ca="1" si="28">$B$13*($B$10*M61+ $B$11*M62)</f>
        <v>0</v>
      </c>
      <c r="M62">
        <f t="shared" ca="1" si="27"/>
        <v>0</v>
      </c>
      <c r="N62">
        <f t="shared" ca="1" si="25"/>
        <v>0</v>
      </c>
      <c r="O62">
        <f t="shared" ca="1" si="24"/>
        <v>0</v>
      </c>
      <c r="P62">
        <f t="shared" ca="1" si="23"/>
        <v>0</v>
      </c>
      <c r="Q62">
        <f t="shared" ca="1" si="22"/>
        <v>0</v>
      </c>
    </row>
    <row r="63" spans="1:17" x14ac:dyDescent="0.25">
      <c r="A63" s="49">
        <v>8</v>
      </c>
      <c r="B63" s="54"/>
      <c r="C63" s="55" t="str">
        <f t="shared" ca="1" si="26"/>
        <v/>
      </c>
      <c r="D63" s="55" t="str">
        <f t="shared" ca="1" si="26"/>
        <v/>
      </c>
      <c r="E63" s="55" t="str">
        <f t="shared" ca="1" si="26"/>
        <v/>
      </c>
      <c r="F63" s="55" t="str">
        <f t="shared" ca="1" si="26"/>
        <v/>
      </c>
      <c r="G63" s="55" t="str">
        <f t="shared" ca="1" si="26"/>
        <v/>
      </c>
      <c r="H63" s="55" t="str">
        <f t="shared" ca="1" si="26"/>
        <v/>
      </c>
      <c r="I63" s="55" t="str">
        <f t="shared" ca="1" si="26"/>
        <v/>
      </c>
      <c r="J63" s="55">
        <f ca="1">$B$13*($B$10*K62+ $B$11*K63)</f>
        <v>0</v>
      </c>
      <c r="K63" s="55">
        <f t="shared" ref="K63:K71" ca="1" si="29">$B$13*($B$10*L62+ $B$11*L63)</f>
        <v>0</v>
      </c>
      <c r="L63" s="55">
        <f t="shared" ca="1" si="28"/>
        <v>0</v>
      </c>
      <c r="M63">
        <f t="shared" ca="1" si="27"/>
        <v>0</v>
      </c>
      <c r="N63">
        <f t="shared" ca="1" si="25"/>
        <v>0</v>
      </c>
      <c r="O63">
        <f t="shared" ca="1" si="24"/>
        <v>0</v>
      </c>
      <c r="P63">
        <f t="shared" ca="1" si="23"/>
        <v>0</v>
      </c>
      <c r="Q63">
        <f t="shared" ca="1" si="22"/>
        <v>0</v>
      </c>
    </row>
    <row r="64" spans="1:17" x14ac:dyDescent="0.25">
      <c r="A64" s="49">
        <v>7</v>
      </c>
      <c r="B64" s="54"/>
      <c r="C64" s="55" t="str">
        <f t="shared" ca="1" si="26"/>
        <v/>
      </c>
      <c r="D64" s="55" t="str">
        <f t="shared" ca="1" si="26"/>
        <v/>
      </c>
      <c r="E64" s="55" t="str">
        <f t="shared" ca="1" si="26"/>
        <v/>
      </c>
      <c r="F64" s="55" t="str">
        <f t="shared" ca="1" si="26"/>
        <v/>
      </c>
      <c r="G64" s="55" t="str">
        <f t="shared" ca="1" si="26"/>
        <v/>
      </c>
      <c r="H64" s="55" t="str">
        <f t="shared" ca="1" si="26"/>
        <v/>
      </c>
      <c r="I64" s="55">
        <f ca="1">$B$13*($B$10*J63+ $B$11*J64)</f>
        <v>1.6680074198583288E-2</v>
      </c>
      <c r="J64" s="55">
        <f t="shared" ref="J64:J71" ca="1" si="30">$B$13*($B$10*K63+ $B$11*K64)</f>
        <v>3.2876158679150704E-2</v>
      </c>
      <c r="K64" s="55">
        <f t="shared" ca="1" si="29"/>
        <v>6.4798381387805609E-2</v>
      </c>
      <c r="L64" s="55">
        <f t="shared" ca="1" si="28"/>
        <v>0.12771657027991878</v>
      </c>
      <c r="M64">
        <f t="shared" ca="1" si="27"/>
        <v>0.25172731131112935</v>
      </c>
      <c r="N64">
        <f t="shared" ca="1" si="25"/>
        <v>0.4961504926185254</v>
      </c>
      <c r="O64">
        <f t="shared" ca="1" si="24"/>
        <v>0.97790466216576166</v>
      </c>
      <c r="P64">
        <f t="shared" ca="1" si="23"/>
        <v>1.9274344024904551</v>
      </c>
      <c r="Q64">
        <f t="shared" ca="1" si="22"/>
        <v>3.7989422891963045</v>
      </c>
    </row>
    <row r="65" spans="1:17" x14ac:dyDescent="0.25">
      <c r="A65" s="49">
        <v>6</v>
      </c>
      <c r="B65" s="54"/>
      <c r="C65" s="55" t="str">
        <f t="shared" ca="1" si="26"/>
        <v/>
      </c>
      <c r="D65" s="55" t="str">
        <f t="shared" ca="1" si="26"/>
        <v/>
      </c>
      <c r="E65" s="55" t="str">
        <f t="shared" ca="1" si="26"/>
        <v/>
      </c>
      <c r="F65" s="55" t="str">
        <f t="shared" ca="1" si="26"/>
        <v/>
      </c>
      <c r="G65" s="55" t="str">
        <f t="shared" ca="1" si="26"/>
        <v/>
      </c>
      <c r="H65" s="55">
        <f ca="1">$B$13*($B$10*I64+ $B$11*I65)</f>
        <v>9.8341462113762088E-2</v>
      </c>
      <c r="I65" s="55">
        <f t="shared" ref="I65:I71" ca="1" si="31">$B$13*($B$10*J64+ $B$11*J65)</f>
        <v>0.17764431673657652</v>
      </c>
      <c r="J65" s="55">
        <f t="shared" ca="1" si="30"/>
        <v>0.3182334718349662</v>
      </c>
      <c r="K65" s="55">
        <f t="shared" ca="1" si="29"/>
        <v>0.56435744438435864</v>
      </c>
      <c r="L65" s="55">
        <f t="shared" ca="1" si="28"/>
        <v>0.98841262407291575</v>
      </c>
      <c r="M65">
        <f t="shared" ca="1" si="27"/>
        <v>1.7038876014797808</v>
      </c>
      <c r="N65">
        <f t="shared" ca="1" si="25"/>
        <v>2.8769068746858903</v>
      </c>
      <c r="O65">
        <f t="shared" ca="1" si="24"/>
        <v>4.7214499320797065</v>
      </c>
      <c r="P65">
        <f t="shared" ca="1" si="23"/>
        <v>7.4356602953764703</v>
      </c>
      <c r="Q65">
        <f t="shared" ca="1" si="22"/>
        <v>10.96935061136152</v>
      </c>
    </row>
    <row r="66" spans="1:17" x14ac:dyDescent="0.25">
      <c r="A66" s="49">
        <v>5</v>
      </c>
      <c r="B66" s="49"/>
      <c r="C66" s="55" t="str">
        <f t="shared" ca="1" si="26"/>
        <v/>
      </c>
      <c r="D66" s="55" t="str">
        <f t="shared" ca="1" si="26"/>
        <v/>
      </c>
      <c r="E66" s="55" t="str">
        <f t="shared" ca="1" si="26"/>
        <v/>
      </c>
      <c r="F66" s="55" t="str">
        <f t="shared" ca="1" si="26"/>
        <v/>
      </c>
      <c r="G66" s="55">
        <f ca="1">$B$13*($B$10*H65+ $B$11*H66)</f>
        <v>0.32211892388418734</v>
      </c>
      <c r="H66" s="55">
        <f ca="1">$B$13*($B$10*I65+ $B$11*I66)</f>
        <v>0.53946784868075337</v>
      </c>
      <c r="I66" s="55">
        <f t="shared" ca="1" si="31"/>
        <v>0.89090938607802472</v>
      </c>
      <c r="J66" s="55">
        <f t="shared" ca="1" si="30"/>
        <v>1.4471775553199338</v>
      </c>
      <c r="K66" s="55">
        <f t="shared" ca="1" si="29"/>
        <v>2.3047524396917236</v>
      </c>
      <c r="L66" s="55">
        <f t="shared" ca="1" si="28"/>
        <v>3.5835465587476234</v>
      </c>
      <c r="M66">
        <f t="shared" ca="1" si="27"/>
        <v>5.4097845130016333</v>
      </c>
      <c r="N66">
        <f t="shared" ca="1" si="25"/>
        <v>7.8710578671858551</v>
      </c>
      <c r="O66">
        <f t="shared" ca="1" si="24"/>
        <v>10.932378099511503</v>
      </c>
      <c r="P66">
        <f t="shared" ca="1" si="23"/>
        <v>14.332519371175236</v>
      </c>
      <c r="Q66">
        <f t="shared" ca="1" si="22"/>
        <v>17.605307891822619</v>
      </c>
    </row>
    <row r="67" spans="1:17" x14ac:dyDescent="0.25">
      <c r="A67" s="49">
        <v>4</v>
      </c>
      <c r="B67" s="49"/>
      <c r="C67" s="55" t="str">
        <f t="shared" ca="1" si="26"/>
        <v/>
      </c>
      <c r="D67" s="55" t="str">
        <f t="shared" ca="1" si="26"/>
        <v/>
      </c>
      <c r="E67" s="55" t="str">
        <f t="shared" ca="1" si="26"/>
        <v/>
      </c>
      <c r="F67" s="55">
        <f ca="1">$B$13*($B$10*G66+ $B$11*G67)</f>
        <v>0.77549695638228444</v>
      </c>
      <c r="G67" s="55">
        <f t="shared" ref="G67:H71" ca="1" si="32">$B$13*($B$10*H66+ $B$11*H67)</f>
        <v>1.2159313484114589</v>
      </c>
      <c r="H67" s="55">
        <f t="shared" ca="1" si="32"/>
        <v>1.8731209238781963</v>
      </c>
      <c r="I67" s="55">
        <f t="shared" ca="1" si="31"/>
        <v>2.8274177965169973</v>
      </c>
      <c r="J67" s="55">
        <f t="shared" ca="1" si="30"/>
        <v>4.1685595596561429</v>
      </c>
      <c r="K67" s="55">
        <f t="shared" ca="1" si="29"/>
        <v>5.9798003333679901</v>
      </c>
      <c r="L67" s="55">
        <f t="shared" ca="1" si="28"/>
        <v>8.3088782886233119</v>
      </c>
      <c r="M67">
        <f t="shared" ca="1" si="27"/>
        <v>11.127405447380474</v>
      </c>
      <c r="N67">
        <f t="shared" ca="1" si="25"/>
        <v>14.294437093600175</v>
      </c>
      <c r="O67">
        <f t="shared" ca="1" si="24"/>
        <v>17.566123762835787</v>
      </c>
      <c r="P67">
        <f t="shared" ca="1" si="23"/>
        <v>20.715316576026883</v>
      </c>
      <c r="Q67">
        <f t="shared" ca="1" si="22"/>
        <v>23.746649786116237</v>
      </c>
    </row>
    <row r="68" spans="1:17" x14ac:dyDescent="0.25">
      <c r="A68" s="49">
        <v>3</v>
      </c>
      <c r="B68" s="49"/>
      <c r="C68" s="55" t="str">
        <f t="shared" ca="1" si="26"/>
        <v/>
      </c>
      <c r="D68" s="55" t="str">
        <f t="shared" ca="1" si="26"/>
        <v/>
      </c>
      <c r="E68" s="55">
        <f ca="1">$B$13*($B$10*F67+ $B$11*F68)</f>
        <v>1.5337503931211414</v>
      </c>
      <c r="F68" s="55">
        <f t="shared" ref="F68:F71" ca="1" si="33">$B$13*($B$10*G67+ $B$11*G68)</f>
        <v>2.2705117294441965</v>
      </c>
      <c r="G68" s="55">
        <f t="shared" ca="1" si="32"/>
        <v>3.2952910900937487</v>
      </c>
      <c r="H68" s="55">
        <f t="shared" ca="1" si="32"/>
        <v>4.6774259337053126</v>
      </c>
      <c r="I68" s="55">
        <f t="shared" ca="1" si="31"/>
        <v>6.4756114476117244</v>
      </c>
      <c r="J68" s="55">
        <f t="shared" ca="1" si="30"/>
        <v>8.7184600881715824</v>
      </c>
      <c r="K68" s="55">
        <f t="shared" ca="1" si="29"/>
        <v>11.381582821184725</v>
      </c>
      <c r="L68" s="55">
        <f t="shared" ca="1" si="28"/>
        <v>14.370587611724007</v>
      </c>
      <c r="M68">
        <f t="shared" ca="1" si="27"/>
        <v>17.526974896760557</v>
      </c>
      <c r="N68">
        <f t="shared" ca="1" si="25"/>
        <v>20.675107053943982</v>
      </c>
      <c r="O68">
        <f t="shared" ca="1" si="24"/>
        <v>23.705418884312383</v>
      </c>
      <c r="P68">
        <f t="shared" ca="1" si="23"/>
        <v>26.622367845382215</v>
      </c>
      <c r="Q68">
        <f t="shared" ca="1" si="22"/>
        <v>29.43024277331898</v>
      </c>
    </row>
    <row r="69" spans="1:17" x14ac:dyDescent="0.25">
      <c r="A69" s="49">
        <v>2</v>
      </c>
      <c r="B69" s="49"/>
      <c r="C69" s="55" t="str">
        <f t="shared" ca="1" si="26"/>
        <v/>
      </c>
      <c r="D69" s="55">
        <f ca="1">$B$13*($B$10*E68+ $B$11*E69)</f>
        <v>2.6434806562743685</v>
      </c>
      <c r="E69" s="55">
        <f t="shared" ref="E69:E71" ca="1" si="34">$B$13*($B$10*F68+ $B$11*F69)</f>
        <v>3.7220184384156854</v>
      </c>
      <c r="F69" s="55">
        <f t="shared" ca="1" si="33"/>
        <v>5.1328996345789868</v>
      </c>
      <c r="G69" s="55">
        <f t="shared" ca="1" si="32"/>
        <v>6.9193526818995936</v>
      </c>
      <c r="H69" s="55">
        <f t="shared" ca="1" si="32"/>
        <v>9.0993001232008357</v>
      </c>
      <c r="I69" s="55">
        <f t="shared" ca="1" si="31"/>
        <v>11.651113473522082</v>
      </c>
      <c r="J69" s="55">
        <f t="shared" ca="1" si="30"/>
        <v>14.504399894898386</v>
      </c>
      <c r="K69" s="55">
        <f t="shared" ca="1" si="29"/>
        <v>17.544081573064705</v>
      </c>
      <c r="L69" s="55">
        <f t="shared" ca="1" si="28"/>
        <v>20.634933129113424</v>
      </c>
      <c r="M69">
        <f t="shared" ca="1" si="27"/>
        <v>23.664223927564048</v>
      </c>
      <c r="N69">
        <f t="shared" ca="1" si="25"/>
        <v>26.580189634342581</v>
      </c>
      <c r="O69">
        <f t="shared" ca="1" si="24"/>
        <v>29.387117656239482</v>
      </c>
      <c r="P69">
        <f t="shared" ca="1" si="23"/>
        <v>32.089133211555783</v>
      </c>
      <c r="Q69">
        <f t="shared" ca="1" si="22"/>
        <v>34.690205465543571</v>
      </c>
    </row>
    <row r="70" spans="1:17" x14ac:dyDescent="0.25">
      <c r="A70" s="49">
        <v>1</v>
      </c>
      <c r="B70" s="49"/>
      <c r="C70" s="55">
        <f ca="1">$B$13*($B$10*D69+ $B$11*D70)</f>
        <v>4.1163718062592869</v>
      </c>
      <c r="D70" s="55">
        <f t="shared" ref="D70:D71" ca="1" si="35">$B$13*($B$10*E69+ $B$11*E70)</f>
        <v>5.5482619493727148</v>
      </c>
      <c r="E70" s="55">
        <f t="shared" ca="1" si="34"/>
        <v>7.323960042309797</v>
      </c>
      <c r="F70" s="55">
        <f t="shared" ca="1" si="33"/>
        <v>9.4548162768892166</v>
      </c>
      <c r="G70" s="55">
        <f t="shared" ca="1" si="32"/>
        <v>11.921255976207515</v>
      </c>
      <c r="H70" s="55">
        <f t="shared" ca="1" si="32"/>
        <v>14.667307037554602</v>
      </c>
      <c r="I70" s="55">
        <f t="shared" ca="1" si="31"/>
        <v>17.603636048863152</v>
      </c>
      <c r="J70" s="55">
        <f t="shared" ca="1" si="30"/>
        <v>20.622472364428468</v>
      </c>
      <c r="K70" s="55">
        <f t="shared" ca="1" si="29"/>
        <v>23.623064889094</v>
      </c>
      <c r="L70" s="55">
        <f t="shared" ca="1" si="28"/>
        <v>26.538047676675578</v>
      </c>
      <c r="M70">
        <f t="shared" ca="1" si="27"/>
        <v>29.344029115515362</v>
      </c>
      <c r="N70">
        <f t="shared" ca="1" si="25"/>
        <v>32.045133049069527</v>
      </c>
      <c r="O70">
        <f t="shared" ca="1" si="24"/>
        <v>34.645327319754344</v>
      </c>
      <c r="P70">
        <f t="shared" ca="1" si="23"/>
        <v>37.148429670321136</v>
      </c>
      <c r="Q70">
        <f t="shared" ca="1" si="22"/>
        <v>39.558113421987748</v>
      </c>
    </row>
    <row r="71" spans="1:17" x14ac:dyDescent="0.25">
      <c r="A71" s="49">
        <v>0</v>
      </c>
      <c r="B71" s="55">
        <f ca="1">$B$13*($B$10*C70+ $B$11*C71)</f>
        <v>5.9320561013795681</v>
      </c>
      <c r="C71" s="55">
        <f ca="1">$B$13*($B$10*D70+ $B$11*D71)</f>
        <v>7.6977604099978105</v>
      </c>
      <c r="D71" s="55">
        <f t="shared" ca="1" si="35"/>
        <v>9.7885335059788492</v>
      </c>
      <c r="E71" s="55">
        <f t="shared" ca="1" si="34"/>
        <v>12.186405805511635</v>
      </c>
      <c r="F71" s="55">
        <f t="shared" ca="1" si="33"/>
        <v>14.844946148741885</v>
      </c>
      <c r="G71" s="55">
        <f t="shared" ca="1" si="32"/>
        <v>17.691633303361943</v>
      </c>
      <c r="H71" s="55">
        <f t="shared" ca="1" si="32"/>
        <v>20.6378403304467</v>
      </c>
      <c r="I71" s="55">
        <f t="shared" ca="1" si="31"/>
        <v>23.595567583366321</v>
      </c>
      <c r="J71" s="55">
        <f t="shared" ca="1" si="30"/>
        <v>26.495941945506164</v>
      </c>
      <c r="K71" s="55">
        <f t="shared" ca="1" si="29"/>
        <v>29.300977124159001</v>
      </c>
      <c r="L71" s="55">
        <f t="shared" ca="1" si="28"/>
        <v>32.001169747171858</v>
      </c>
      <c r="M71">
        <f t="shared" ca="1" si="27"/>
        <v>34.600486334566021</v>
      </c>
      <c r="N71">
        <f t="shared" ca="1" si="25"/>
        <v>37.102743356722762</v>
      </c>
      <c r="O71">
        <f t="shared" ca="1" si="24"/>
        <v>39.511612910622326</v>
      </c>
      <c r="P71">
        <f t="shared" ca="1" si="23"/>
        <v>41.830628181356154</v>
      </c>
      <c r="Q71">
        <f t="shared" ca="1" si="22"/>
        <v>44.063188697035102</v>
      </c>
    </row>
    <row r="74" spans="1:17" x14ac:dyDescent="0.25">
      <c r="A74" s="60" t="s">
        <v>41</v>
      </c>
    </row>
    <row r="75" spans="1:17" x14ac:dyDescent="0.25">
      <c r="A75" s="49"/>
      <c r="B75" s="54">
        <v>0</v>
      </c>
      <c r="C75" s="54">
        <v>1</v>
      </c>
      <c r="D75" s="54">
        <v>2</v>
      </c>
      <c r="E75" s="54">
        <v>3</v>
      </c>
      <c r="F75" s="54">
        <v>4</v>
      </c>
      <c r="G75" s="54">
        <v>5</v>
      </c>
      <c r="H75" s="54">
        <v>6</v>
      </c>
      <c r="I75" s="54">
        <v>7</v>
      </c>
      <c r="J75" s="54">
        <v>8</v>
      </c>
      <c r="K75" s="54">
        <v>9</v>
      </c>
      <c r="L75" s="49">
        <v>10</v>
      </c>
    </row>
    <row r="76" spans="1:17" x14ac:dyDescent="0.25">
      <c r="A76">
        <v>15</v>
      </c>
    </row>
    <row r="77" spans="1:17" x14ac:dyDescent="0.25">
      <c r="A77">
        <v>14</v>
      </c>
    </row>
    <row r="78" spans="1:17" x14ac:dyDescent="0.25">
      <c r="A78">
        <v>13</v>
      </c>
    </row>
    <row r="79" spans="1:17" x14ac:dyDescent="0.25">
      <c r="A79">
        <v>12</v>
      </c>
    </row>
    <row r="80" spans="1:17" x14ac:dyDescent="0.25">
      <c r="A80">
        <v>11</v>
      </c>
    </row>
    <row r="81" spans="1:16" x14ac:dyDescent="0.25">
      <c r="A81" s="49">
        <v>10</v>
      </c>
      <c r="B81" s="54"/>
      <c r="C81" s="55" t="str">
        <f t="shared" ref="C81:K89" ca="1" si="36">IF($A81&lt;C$15,$B$9*OFFSET(C81,0,-1),IF($A81=C$15,$B$8*OFFSET(C81,1,-1),""))</f>
        <v/>
      </c>
      <c r="D81" s="55" t="str">
        <f t="shared" ca="1" si="36"/>
        <v/>
      </c>
      <c r="E81" s="55" t="str">
        <f t="shared" ca="1" si="36"/>
        <v/>
      </c>
      <c r="F81" s="55" t="str">
        <f t="shared" ca="1" si="36"/>
        <v/>
      </c>
      <c r="G81" s="55" t="str">
        <f t="shared" ca="1" si="36"/>
        <v/>
      </c>
      <c r="H81" s="55" t="str">
        <f t="shared" ca="1" si="36"/>
        <v/>
      </c>
      <c r="I81" s="55" t="str">
        <f t="shared" ca="1" si="36"/>
        <v/>
      </c>
      <c r="J81" s="55" t="str">
        <f t="shared" ca="1" si="36"/>
        <v/>
      </c>
      <c r="K81" s="55" t="str">
        <f t="shared" ca="1" si="36"/>
        <v/>
      </c>
      <c r="L81" s="55">
        <f ca="1">MAX(L41,L61)</f>
        <v>47.343416469779591</v>
      </c>
      <c r="N81">
        <f>(FACT($B$5) / (FACT($B$5 - A81) * FACT(A81))) * ($B$10^A81)*($B$11^($B$5 - A81))</f>
        <v>8.485197385876013E-2</v>
      </c>
      <c r="O81">
        <f ca="1">N81*L81</f>
        <v>4.0171823366781316</v>
      </c>
      <c r="P81">
        <f ca="1">(B13^$B$5)*SUM(O81:O91)</f>
        <v>20.177475048015239</v>
      </c>
    </row>
    <row r="82" spans="1:16" x14ac:dyDescent="0.25">
      <c r="A82" s="49">
        <v>9</v>
      </c>
      <c r="B82" s="54"/>
      <c r="C82" s="55" t="str">
        <f t="shared" ca="1" si="36"/>
        <v/>
      </c>
      <c r="D82" s="55" t="str">
        <f t="shared" ca="1" si="36"/>
        <v/>
      </c>
      <c r="E82" s="55" t="str">
        <f t="shared" ca="1" si="36"/>
        <v/>
      </c>
      <c r="F82" s="55" t="str">
        <f t="shared" ca="1" si="36"/>
        <v/>
      </c>
      <c r="G82" s="55" t="str">
        <f t="shared" ca="1" si="36"/>
        <v/>
      </c>
      <c r="H82" s="55" t="str">
        <f t="shared" ca="1" si="36"/>
        <v/>
      </c>
      <c r="I82" s="55" t="str">
        <f t="shared" ca="1" si="36"/>
        <v/>
      </c>
      <c r="J82" s="55" t="str">
        <f t="shared" ca="1" si="36"/>
        <v/>
      </c>
      <c r="K82" s="55">
        <f ca="1">$B$13*($B$10*L81+ $B$11*L82)</f>
        <v>41.761928032393392</v>
      </c>
      <c r="L82" s="55">
        <f t="shared" ref="L82:L91" ca="1" si="37">MAX(L42,L62)</f>
        <v>36.373491480732859</v>
      </c>
      <c r="N82">
        <f t="shared" ref="N82:N91" si="38">(FACT($B$5) / (FACT($B$5 - A82) * FACT(A82))) * ($B$10^A82)*($B$11^($B$5 - A82))</f>
        <v>0.14574462596705273</v>
      </c>
      <c r="O82">
        <f t="shared" ref="O82:O91" ca="1" si="39">N82*L82</f>
        <v>5.3012409109751895</v>
      </c>
    </row>
    <row r="83" spans="1:16" x14ac:dyDescent="0.25">
      <c r="A83" s="49">
        <v>8</v>
      </c>
      <c r="B83" s="54"/>
      <c r="C83" s="55" t="str">
        <f t="shared" ca="1" si="36"/>
        <v/>
      </c>
      <c r="D83" s="55" t="str">
        <f t="shared" ca="1" si="36"/>
        <v/>
      </c>
      <c r="E83" s="55" t="str">
        <f t="shared" ca="1" si="36"/>
        <v/>
      </c>
      <c r="F83" s="55" t="str">
        <f t="shared" ca="1" si="36"/>
        <v/>
      </c>
      <c r="G83" s="55" t="str">
        <f t="shared" ca="1" si="36"/>
        <v/>
      </c>
      <c r="H83" s="55" t="str">
        <f t="shared" ca="1" si="36"/>
        <v/>
      </c>
      <c r="I83" s="55" t="str">
        <f t="shared" ca="1" si="36"/>
        <v/>
      </c>
      <c r="J83" s="55">
        <f ca="1">$B$13*($B$10*K82+ $B$11*K83)</f>
        <v>36.394630193546995</v>
      </c>
      <c r="K83" s="55">
        <f t="shared" ref="K83:K91" ca="1" si="40">$B$13*($B$10*L82+ $B$11*L83)</f>
        <v>31.210502880263071</v>
      </c>
      <c r="L83" s="55">
        <f t="shared" ca="1" si="37"/>
        <v>26.22121697606492</v>
      </c>
      <c r="N83">
        <f t="shared" si="38"/>
        <v>0.19311627258349423</v>
      </c>
      <c r="O83">
        <f t="shared" ca="1" si="39"/>
        <v>5.0637436850206994</v>
      </c>
    </row>
    <row r="84" spans="1:16" x14ac:dyDescent="0.25">
      <c r="A84" s="49">
        <v>7</v>
      </c>
      <c r="B84" s="54"/>
      <c r="C84" s="55" t="str">
        <f t="shared" ca="1" si="36"/>
        <v/>
      </c>
      <c r="D84" s="55" t="str">
        <f t="shared" ca="1" si="36"/>
        <v/>
      </c>
      <c r="E84" s="55" t="str">
        <f t="shared" ca="1" si="36"/>
        <v/>
      </c>
      <c r="F84" s="55" t="str">
        <f t="shared" ca="1" si="36"/>
        <v/>
      </c>
      <c r="G84" s="55" t="str">
        <f t="shared" ca="1" si="36"/>
        <v/>
      </c>
      <c r="H84" s="55" t="str">
        <f t="shared" ca="1" si="36"/>
        <v/>
      </c>
      <c r="I84" s="55">
        <f ca="1">$B$13*($B$10*J83+ $B$11*J84)</f>
        <v>31.250031291459599</v>
      </c>
      <c r="J84" s="55">
        <f t="shared" ref="J84:J91" ca="1" si="41">$B$13*($B$10*K83+ $B$11*K84)</f>
        <v>26.278615375107165</v>
      </c>
      <c r="K84" s="55">
        <f t="shared" ca="1" si="40"/>
        <v>21.510333436725627</v>
      </c>
      <c r="L84" s="55">
        <f t="shared" ca="1" si="37"/>
        <v>16.953365416112117</v>
      </c>
      <c r="N84">
        <f t="shared" si="38"/>
        <v>0.19902183274615956</v>
      </c>
      <c r="O84">
        <f t="shared" ca="1" si="39"/>
        <v>3.3740898563299915</v>
      </c>
    </row>
    <row r="85" spans="1:16" x14ac:dyDescent="0.25">
      <c r="A85" s="49">
        <v>6</v>
      </c>
      <c r="B85" s="54"/>
      <c r="C85" s="55" t="str">
        <f t="shared" ca="1" si="36"/>
        <v/>
      </c>
      <c r="D85" s="55" t="str">
        <f t="shared" ca="1" si="36"/>
        <v/>
      </c>
      <c r="E85" s="55" t="str">
        <f t="shared" ca="1" si="36"/>
        <v/>
      </c>
      <c r="F85" s="55" t="str">
        <f t="shared" ca="1" si="36"/>
        <v/>
      </c>
      <c r="G85" s="55" t="str">
        <f t="shared" ca="1" si="36"/>
        <v/>
      </c>
      <c r="H85" s="55">
        <f ca="1">$B$13*($B$10*I84+ $B$11*I85)</f>
        <v>26.368572579450387</v>
      </c>
      <c r="I85" s="55">
        <f t="shared" ref="I85:I91" ca="1" si="42">$B$13*($B$10*J84+ $B$11*J85)</f>
        <v>21.649282155909379</v>
      </c>
      <c r="J85" s="55">
        <f t="shared" ca="1" si="41"/>
        <v>17.17153589215566</v>
      </c>
      <c r="K85" s="55">
        <f t="shared" ca="1" si="40"/>
        <v>12.972762894289348</v>
      </c>
      <c r="L85" s="55">
        <f t="shared" ca="1" si="37"/>
        <v>9.1187981129838871</v>
      </c>
      <c r="N85">
        <f t="shared" si="38"/>
        <v>0.1595284342652544</v>
      </c>
      <c r="O85">
        <f t="shared" ca="1" si="39"/>
        <v>1.4547075853452758</v>
      </c>
    </row>
    <row r="86" spans="1:16" x14ac:dyDescent="0.25">
      <c r="A86" s="49">
        <v>5</v>
      </c>
      <c r="B86" s="49"/>
      <c r="C86" s="55" t="str">
        <f t="shared" ca="1" si="36"/>
        <v/>
      </c>
      <c r="D86" s="55" t="str">
        <f t="shared" ca="1" si="36"/>
        <v/>
      </c>
      <c r="E86" s="55" t="str">
        <f t="shared" ca="1" si="36"/>
        <v/>
      </c>
      <c r="F86" s="55" t="str">
        <f t="shared" ca="1" si="36"/>
        <v/>
      </c>
      <c r="G86" s="55">
        <f ca="1">$B$13*($B$10*H85+ $B$11*H86)</f>
        <v>21.819828688065133</v>
      </c>
      <c r="H86" s="55">
        <f ca="1">$B$13*($B$10*I85+ $B$11*I86)</f>
        <v>17.420392460431355</v>
      </c>
      <c r="I86" s="55">
        <f t="shared" ca="1" si="42"/>
        <v>13.328429494346162</v>
      </c>
      <c r="J86" s="55">
        <f t="shared" ca="1" si="41"/>
        <v>9.608114556821862</v>
      </c>
      <c r="K86" s="55">
        <f t="shared" ca="1" si="40"/>
        <v>6.3496166092120285</v>
      </c>
      <c r="L86" s="55">
        <f t="shared" ca="1" si="37"/>
        <v>3.6667757928995477</v>
      </c>
      <c r="N86">
        <f t="shared" si="38"/>
        <v>9.8644120263461949E-2</v>
      </c>
      <c r="O86">
        <f t="shared" ca="1" si="39"/>
        <v>0.36170587229393403</v>
      </c>
    </row>
    <row r="87" spans="1:16" x14ac:dyDescent="0.25">
      <c r="A87" s="49">
        <v>4</v>
      </c>
      <c r="B87" s="49"/>
      <c r="C87" s="55" t="str">
        <f t="shared" ca="1" si="36"/>
        <v/>
      </c>
      <c r="D87" s="55" t="str">
        <f t="shared" ca="1" si="36"/>
        <v/>
      </c>
      <c r="E87" s="55" t="str">
        <f t="shared" ca="1" si="36"/>
        <v/>
      </c>
      <c r="F87" s="55">
        <f ca="1">$B$13*($B$10*G86+ $B$11*G87)</f>
        <v>17.80962197244201</v>
      </c>
      <c r="G87" s="55">
        <f t="shared" ref="G87:H87" ca="1" si="43">$B$13*($B$10*H86+ $B$11*H87)</f>
        <v>13.930108701373772</v>
      </c>
      <c r="H87" s="55">
        <f t="shared" ca="1" si="43"/>
        <v>10.552542356612697</v>
      </c>
      <c r="I87" s="55">
        <f t="shared" ca="1" si="42"/>
        <v>7.8659557216979374</v>
      </c>
      <c r="J87" s="55">
        <f t="shared" ca="1" si="41"/>
        <v>6.1806588668123545</v>
      </c>
      <c r="K87" s="55">
        <f t="shared" ca="1" si="40"/>
        <v>6.0207745781660282</v>
      </c>
      <c r="L87" s="55">
        <f t="shared" ca="1" si="37"/>
        <v>8.3088782886233119</v>
      </c>
      <c r="N87">
        <f>(FACT($B$5) / (FACT($B$5 - A87) * FACT(A87))) * ($B$10^A87)*($B$11^($B$5 - A87))</f>
        <v>4.6209404741758005E-2</v>
      </c>
      <c r="O87">
        <f ca="1">N87*L87</f>
        <v>0.38394831978900018</v>
      </c>
    </row>
    <row r="88" spans="1:16" x14ac:dyDescent="0.25">
      <c r="A88" s="49">
        <v>3</v>
      </c>
      <c r="B88" s="49"/>
      <c r="C88" s="55" t="str">
        <f t="shared" ca="1" si="36"/>
        <v/>
      </c>
      <c r="D88" s="55" t="str">
        <f t="shared" ca="1" si="36"/>
        <v/>
      </c>
      <c r="E88" s="55">
        <f ca="1">$B$13*($B$10*F87+ $B$11*F88)</f>
        <v>14.585647820872977</v>
      </c>
      <c r="F88" s="55">
        <f t="shared" ref="F88:H91" ca="1" si="44">$B$13*($B$10*G87+ $B$11*G88)</f>
        <v>11.466919512184546</v>
      </c>
      <c r="G88" s="55">
        <f t="shared" ca="1" si="44"/>
        <v>9.0843528034420054</v>
      </c>
      <c r="H88" s="55">
        <f t="shared" ca="1" si="44"/>
        <v>7.6656961071843419</v>
      </c>
      <c r="I88" s="55">
        <f t="shared" ca="1" si="42"/>
        <v>7.4764142635006223</v>
      </c>
      <c r="J88" s="55">
        <f t="shared" ca="1" si="41"/>
        <v>8.7386319515063438</v>
      </c>
      <c r="K88" s="55">
        <f t="shared" ca="1" si="40"/>
        <v>11.381582821184725</v>
      </c>
      <c r="L88" s="55">
        <f t="shared" ca="1" si="37"/>
        <v>14.370587611724007</v>
      </c>
      <c r="N88">
        <f t="shared" si="38"/>
        <v>1.5874167927921162E-2</v>
      </c>
      <c r="O88">
        <f t="shared" ca="1" si="39"/>
        <v>0.22812112097141041</v>
      </c>
    </row>
    <row r="89" spans="1:16" x14ac:dyDescent="0.25">
      <c r="A89" s="49">
        <v>2</v>
      </c>
      <c r="B89" s="49"/>
      <c r="C89" s="55" t="str">
        <f t="shared" ca="1" si="36"/>
        <v/>
      </c>
      <c r="D89" s="55">
        <f ca="1">$B$13*($B$10*E88+ $B$11*E89)</f>
        <v>12.324801725263413</v>
      </c>
      <c r="E89" s="55">
        <f t="shared" ref="E89:E91" ca="1" si="45">$B$13*($B$10*F88+ $B$11*F89)</f>
        <v>10.139137528510117</v>
      </c>
      <c r="F89" s="55">
        <f t="shared" ca="1" si="44"/>
        <v>8.8574149707351655</v>
      </c>
      <c r="G89" s="55">
        <f t="shared" ca="1" si="44"/>
        <v>8.6430293521023387</v>
      </c>
      <c r="H89" s="55">
        <f t="shared" ca="1" si="44"/>
        <v>9.5970397375057246</v>
      </c>
      <c r="I89" s="55">
        <f t="shared" ca="1" si="42"/>
        <v>11.661044201285387</v>
      </c>
      <c r="J89" s="55">
        <f t="shared" ca="1" si="41"/>
        <v>14.504399894898386</v>
      </c>
      <c r="K89" s="55">
        <f t="shared" ca="1" si="40"/>
        <v>17.544081573064705</v>
      </c>
      <c r="L89" s="55">
        <f t="shared" ca="1" si="37"/>
        <v>20.634933129113424</v>
      </c>
      <c r="N89">
        <f t="shared" si="38"/>
        <v>3.775293528214371E-3</v>
      </c>
      <c r="O89">
        <f t="shared" ca="1" si="39"/>
        <v>7.7902929497478235E-2</v>
      </c>
    </row>
    <row r="90" spans="1:16" x14ac:dyDescent="0.25">
      <c r="A90" s="49">
        <v>1</v>
      </c>
      <c r="B90" s="49"/>
      <c r="C90" s="55">
        <f ca="1">$B$13*($B$10*D89+ $B$11*D90)</f>
        <v>11.08461416378541</v>
      </c>
      <c r="D90" s="55">
        <f t="shared" ref="D90:D91" ca="1" si="46">$B$13*($B$10*E89+ $B$11*E90)</f>
        <v>9.8885079149548076</v>
      </c>
      <c r="E90" s="55">
        <f t="shared" ca="1" si="45"/>
        <v>9.6518108295989116</v>
      </c>
      <c r="F90" s="55">
        <f t="shared" ca="1" si="44"/>
        <v>10.428974770098796</v>
      </c>
      <c r="G90" s="55">
        <f t="shared" ca="1" si="44"/>
        <v>12.168776600266828</v>
      </c>
      <c r="H90" s="55">
        <f t="shared" ca="1" si="44"/>
        <v>14.67219599363527</v>
      </c>
      <c r="I90" s="55">
        <f t="shared" ca="1" si="42"/>
        <v>17.603636048863152</v>
      </c>
      <c r="J90" s="55">
        <f t="shared" ca="1" si="41"/>
        <v>20.622472364428468</v>
      </c>
      <c r="K90" s="55">
        <f t="shared" ca="1" si="40"/>
        <v>23.623064889094</v>
      </c>
      <c r="L90" s="55">
        <f t="shared" ca="1" si="37"/>
        <v>26.538047676675578</v>
      </c>
      <c r="N90">
        <f t="shared" si="38"/>
        <v>5.5582046659413025E-4</v>
      </c>
      <c r="O90">
        <f t="shared" ca="1" si="39"/>
        <v>1.4750390042147093E-2</v>
      </c>
    </row>
    <row r="91" spans="1:16" x14ac:dyDescent="0.25">
      <c r="A91" s="49">
        <v>0</v>
      </c>
      <c r="B91" s="67">
        <f ca="1">$B$13*($B$10*C90+ $B$11*C91)</f>
        <v>10.812447011754458</v>
      </c>
      <c r="C91" s="55">
        <f ca="1">$B$13*($B$10*D90+ $B$11*D91)</f>
        <v>10.555458391600443</v>
      </c>
      <c r="D91" s="55">
        <f t="shared" ca="1" si="46"/>
        <v>11.209552219986843</v>
      </c>
      <c r="E91" s="55">
        <f t="shared" ca="1" si="45"/>
        <v>12.728434253572377</v>
      </c>
      <c r="F91" s="55">
        <f t="shared" ca="1" si="44"/>
        <v>14.968023165055465</v>
      </c>
      <c r="G91" s="55">
        <f t="shared" ca="1" si="44"/>
        <v>17.694040165389421</v>
      </c>
      <c r="H91" s="55">
        <f t="shared" ca="1" si="44"/>
        <v>20.6378403304467</v>
      </c>
      <c r="I91" s="55">
        <f t="shared" ca="1" si="42"/>
        <v>23.595567583366321</v>
      </c>
      <c r="J91" s="55">
        <f t="shared" ca="1" si="41"/>
        <v>26.495941945506164</v>
      </c>
      <c r="K91" s="55">
        <f t="shared" ca="1" si="40"/>
        <v>29.300977124159001</v>
      </c>
      <c r="L91" s="55">
        <f t="shared" ca="1" si="37"/>
        <v>32.001169747171858</v>
      </c>
      <c r="N91">
        <f t="shared" si="38"/>
        <v>3.8187842815977577E-5</v>
      </c>
      <c r="O91">
        <f t="shared" ca="1" si="39"/>
        <v>1.2220556402324158E-3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75"/>
  <sheetViews>
    <sheetView showGridLines="0" topLeftCell="A48" zoomScaleNormal="100" workbookViewId="0">
      <selection activeCell="K31" sqref="K31"/>
    </sheetView>
  </sheetViews>
  <sheetFormatPr baseColWidth="10" defaultColWidth="9.140625"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2" width="9.140625" style="1"/>
    <col min="13" max="13" width="12.28515625" style="1" bestFit="1" customWidth="1"/>
    <col min="14" max="16384" width="9.140625" style="1"/>
  </cols>
  <sheetData>
    <row r="1" spans="1:14" ht="13.5" thickBot="1" x14ac:dyDescent="0.25">
      <c r="A1" s="69" t="s">
        <v>0</v>
      </c>
      <c r="B1" s="70"/>
      <c r="E1" s="69" t="s">
        <v>18</v>
      </c>
      <c r="F1" s="70"/>
      <c r="I1" s="69" t="s">
        <v>1</v>
      </c>
      <c r="J1" s="70"/>
    </row>
    <row r="2" spans="1:14" ht="13.5" thickBot="1" x14ac:dyDescent="0.25">
      <c r="A2" s="3" t="s">
        <v>2</v>
      </c>
      <c r="B2" s="4">
        <v>100</v>
      </c>
      <c r="E2" s="39" t="s">
        <v>19</v>
      </c>
      <c r="F2" s="40">
        <v>15</v>
      </c>
      <c r="I2" s="41" t="s">
        <v>20</v>
      </c>
      <c r="J2" s="42">
        <v>1</v>
      </c>
    </row>
    <row r="3" spans="1:14" ht="15" x14ac:dyDescent="0.25">
      <c r="A3" s="7" t="s">
        <v>4</v>
      </c>
      <c r="B3" s="8">
        <v>0.25</v>
      </c>
      <c r="D3" s="9"/>
      <c r="I3" s="43" t="s">
        <v>3</v>
      </c>
      <c r="J3" s="11">
        <v>110</v>
      </c>
    </row>
    <row r="4" spans="1:14" ht="15" x14ac:dyDescent="0.25">
      <c r="A4" s="7" t="s">
        <v>5</v>
      </c>
      <c r="B4" s="10">
        <v>0.3</v>
      </c>
      <c r="D4" s="9"/>
      <c r="I4" s="43" t="s">
        <v>19</v>
      </c>
      <c r="J4" s="11">
        <v>10</v>
      </c>
    </row>
    <row r="5" spans="1:14" ht="13.5" thickBot="1" x14ac:dyDescent="0.25">
      <c r="A5" s="7" t="s">
        <v>6</v>
      </c>
      <c r="B5" s="11">
        <v>15</v>
      </c>
      <c r="D5" s="12"/>
      <c r="G5" s="17"/>
      <c r="H5" s="17"/>
      <c r="I5" s="44" t="s">
        <v>21</v>
      </c>
      <c r="J5" s="45" t="s">
        <v>35</v>
      </c>
    </row>
    <row r="6" spans="1:14" ht="15" x14ac:dyDescent="0.25">
      <c r="A6" s="7" t="s">
        <v>22</v>
      </c>
      <c r="B6" s="46">
        <v>0.02</v>
      </c>
      <c r="D6" s="12"/>
    </row>
    <row r="7" spans="1:14" ht="15.75" thickBot="1" x14ac:dyDescent="0.3">
      <c r="A7" s="47" t="s">
        <v>23</v>
      </c>
      <c r="B7" s="48">
        <v>0.01</v>
      </c>
    </row>
    <row r="8" spans="1:14" x14ac:dyDescent="0.2">
      <c r="A8" s="13" t="s">
        <v>8</v>
      </c>
      <c r="B8" s="14">
        <f>EXP(B4*SQRT(B3/B5))</f>
        <v>1.0394896104013376</v>
      </c>
    </row>
    <row r="9" spans="1:14" x14ac:dyDescent="0.2">
      <c r="A9" s="15" t="s">
        <v>9</v>
      </c>
      <c r="B9" s="16">
        <f>1/B8</f>
        <v>0.96201057710803761</v>
      </c>
    </row>
    <row r="10" spans="1:14" x14ac:dyDescent="0.2">
      <c r="A10" s="15" t="s">
        <v>10</v>
      </c>
      <c r="B10" s="18">
        <f>(EXP((B6 - B7) * B3/B5) - B9) / (B8 - B9)</f>
        <v>0.49247005062451049</v>
      </c>
      <c r="D10" s="21"/>
      <c r="F10" s="17"/>
      <c r="G10" s="17"/>
    </row>
    <row r="11" spans="1:14" ht="13.5" thickBot="1" x14ac:dyDescent="0.25">
      <c r="A11" s="19" t="s">
        <v>11</v>
      </c>
      <c r="B11" s="20">
        <f>1 - B10</f>
        <v>0.50752994937548945</v>
      </c>
      <c r="D11" s="21"/>
      <c r="F11" s="17"/>
      <c r="G11" s="17"/>
    </row>
    <row r="12" spans="1:14" ht="15.75" thickBot="1" x14ac:dyDescent="0.3">
      <c r="A12" s="15" t="s">
        <v>7</v>
      </c>
      <c r="B12">
        <f>EXP($B$6*$B$3/$B$5)</f>
        <v>1.0003333888950623</v>
      </c>
    </row>
    <row r="13" spans="1:14" ht="13.5" thickBot="1" x14ac:dyDescent="0.25">
      <c r="A13" s="22"/>
      <c r="B13" s="73" t="s">
        <v>12</v>
      </c>
      <c r="C13" s="74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2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147.29958713933712</v>
      </c>
      <c r="M14" s="22"/>
      <c r="N14" s="22"/>
    </row>
    <row r="15" spans="1:14" x14ac:dyDescent="0.2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141.70376083168941</v>
      </c>
      <c r="L15" s="31">
        <f>B2 * (B8 ^ (9)) * (B9 ^ (1))</f>
        <v>136.32051673607288</v>
      </c>
      <c r="M15" s="22"/>
      <c r="N15" s="22"/>
    </row>
    <row r="16" spans="1:14" x14ac:dyDescent="0.2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136.32051673607288</v>
      </c>
      <c r="K16" s="30">
        <f>B2 * (B8 ^ (8)) * (B9 ^ (1))</f>
        <v>131.14177897693537</v>
      </c>
      <c r="L16" s="31">
        <f>B2 * (B8 ^ (8)) * (B9 ^ (2))</f>
        <v>126.15977847657631</v>
      </c>
      <c r="M16" s="22"/>
      <c r="N16" s="22"/>
    </row>
    <row r="17" spans="1:14" x14ac:dyDescent="0.2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131.14177897693537</v>
      </c>
      <c r="J17" s="30">
        <f>B2 * (B8 ^ (7)) * (B9 ^ (1))</f>
        <v>126.15977847657631</v>
      </c>
      <c r="K17" s="30">
        <f>B2 * (B8 ^ (7)) * (B9 ^ (2))</f>
        <v>121.36704130007335</v>
      </c>
      <c r="L17" s="31">
        <f>B2 * (B8 ^ (7)) * (B9 ^ (3))</f>
        <v>116.7563774429786</v>
      </c>
      <c r="M17" s="22"/>
      <c r="N17" s="22"/>
    </row>
    <row r="18" spans="1:14" x14ac:dyDescent="0.2">
      <c r="A18" s="22"/>
      <c r="B18" s="29"/>
      <c r="C18" s="30"/>
      <c r="D18" s="30"/>
      <c r="E18" s="30"/>
      <c r="F18" s="30"/>
      <c r="G18" s="30"/>
      <c r="H18" s="30">
        <f>B2 * (B8 ^ (6)) * (B9 ^ (0))</f>
        <v>126.15977847657631</v>
      </c>
      <c r="I18" s="30">
        <f>B2 * (B8 ^ (6)) * (B9 ^ (1))</f>
        <v>121.36704130007335</v>
      </c>
      <c r="J18" s="30">
        <f>B2 * (B8 ^ (6)) * (B9 ^ (2))</f>
        <v>116.7563774429786</v>
      </c>
      <c r="K18" s="30">
        <f>B2 * (B8 ^ (6)) * (B9 ^ (3))</f>
        <v>112.3208700449637</v>
      </c>
      <c r="L18" s="31">
        <f>B2 * (B8 ^ (6)) * (B9 ^ (4))</f>
        <v>108.05386501323244</v>
      </c>
      <c r="M18" s="22"/>
      <c r="N18" s="22"/>
    </row>
    <row r="19" spans="1:14" x14ac:dyDescent="0.2">
      <c r="A19" s="22"/>
      <c r="B19" s="29"/>
      <c r="C19" s="30"/>
      <c r="D19" s="30"/>
      <c r="E19" s="30"/>
      <c r="F19" s="30"/>
      <c r="G19" s="30">
        <f>B2 * (B8 ^ (5)) * (B9 ^ (0))</f>
        <v>121.36704130007337</v>
      </c>
      <c r="H19" s="30">
        <f>B2 * (B8 ^ (5)) * (B9 ^ (1))</f>
        <v>116.75637744297862</v>
      </c>
      <c r="I19" s="30">
        <f>B2 * (B8 ^ (5)) * (B9 ^ (2))</f>
        <v>112.32087004496373</v>
      </c>
      <c r="J19" s="30">
        <f>B2 * (B8 ^ (5)) * (B9 ^ (3))</f>
        <v>108.05386501323244</v>
      </c>
      <c r="K19" s="30">
        <f>B2 * (B8 ^ (5)) * (B9 ^ (4))</f>
        <v>103.94896104013374</v>
      </c>
      <c r="L19" s="31">
        <f>B2 * (B8 ^ (5)) * (B9 ^ (5))</f>
        <v>99.999999999999972</v>
      </c>
      <c r="M19" s="22"/>
      <c r="N19" s="22"/>
    </row>
    <row r="20" spans="1:14" x14ac:dyDescent="0.2">
      <c r="A20" s="22"/>
      <c r="B20" s="29"/>
      <c r="C20" s="30"/>
      <c r="D20" s="30"/>
      <c r="E20" s="30"/>
      <c r="F20" s="30">
        <f>B2 * (B8 ^ (4)) * (B9 ^ (0))</f>
        <v>116.75637744297862</v>
      </c>
      <c r="G20" s="30">
        <f>B2 * (B8 ^ (4)) * (B9 ^ (1))</f>
        <v>112.32087004496373</v>
      </c>
      <c r="H20" s="30">
        <f>B2 * (B8 ^ (4)) * (B9 ^ (2))</f>
        <v>108.05386501323244</v>
      </c>
      <c r="I20" s="30">
        <f>B2 * (B8 ^ (4)) * (B9 ^ (3))</f>
        <v>103.94896104013374</v>
      </c>
      <c r="J20" s="30">
        <f>B2 * (B8 ^ (4)) * (B9 ^ (4))</f>
        <v>99.999999999999972</v>
      </c>
      <c r="K20" s="30">
        <f>B2 * (B8 ^ (4)) * (B9 ^ (5))</f>
        <v>96.201057710803738</v>
      </c>
      <c r="L20" s="31">
        <f>B2 * (B8 ^ (4)) * (B9 ^ (6))</f>
        <v>92.546435046773937</v>
      </c>
      <c r="M20" s="22"/>
      <c r="N20" s="22"/>
    </row>
    <row r="21" spans="1:14" x14ac:dyDescent="0.2">
      <c r="A21" s="22"/>
      <c r="B21" s="29"/>
      <c r="C21" s="30"/>
      <c r="D21" s="30"/>
      <c r="E21" s="30">
        <f>B2 * (B8 ^ (3)) * (B9 ^ (0))</f>
        <v>112.32087004496374</v>
      </c>
      <c r="F21" s="30">
        <f>B2 * (B8 ^ (3)) * (B9 ^ (1))</f>
        <v>108.05386501323247</v>
      </c>
      <c r="G21" s="30">
        <f>B2 * (B8 ^ (3)) * (B9 ^ (2))</f>
        <v>103.94896104013375</v>
      </c>
      <c r="H21" s="30">
        <f>B2 * (B8 ^ (3)) * (B9 ^ (3))</f>
        <v>99.999999999999986</v>
      </c>
      <c r="I21" s="30">
        <f>B2 * (B8 ^ (3)) * (B9 ^ (4))</f>
        <v>96.201057710803752</v>
      </c>
      <c r="J21" s="30">
        <f>B2 * (B8 ^ (3)) * (B9 ^ (5))</f>
        <v>92.546435046773951</v>
      </c>
      <c r="K21" s="30">
        <f>B2 * (B8 ^ (3)) * (B9 ^ (6))</f>
        <v>89.030649388638523</v>
      </c>
      <c r="L21" s="31">
        <f>B2 * (B8 ^ (3)) * (B9 ^ (7))</f>
        <v>85.648426398667496</v>
      </c>
      <c r="M21" s="22"/>
      <c r="N21" s="22"/>
    </row>
    <row r="22" spans="1:14" x14ac:dyDescent="0.2">
      <c r="A22" s="22"/>
      <c r="B22" s="29"/>
      <c r="C22" s="30"/>
      <c r="D22" s="30">
        <f>B2 * (B8 ^ (2)) * (B9 ^ (0))</f>
        <v>108.05386501323247</v>
      </c>
      <c r="E22" s="30">
        <f>B2 * (B8 ^ (2)) * (B9 ^ (1))</f>
        <v>103.94896104013377</v>
      </c>
      <c r="F22" s="30">
        <f>B2 * (B8 ^ (2)) * (B9 ^ (2))</f>
        <v>100</v>
      </c>
      <c r="G22" s="30">
        <f>B2 * (B8 ^ (2)) * (B9 ^ (3))</f>
        <v>96.201057710803752</v>
      </c>
      <c r="H22" s="30">
        <f>B2 * (B8 ^ (2)) * (B9 ^ (4))</f>
        <v>92.546435046773951</v>
      </c>
      <c r="I22" s="30">
        <f>B2 * (B8 ^ (2)) * (B9 ^ (5))</f>
        <v>89.030649388638523</v>
      </c>
      <c r="J22" s="30">
        <f>B2 * (B8 ^ (2)) * (B9 ^ (6))</f>
        <v>85.648426398667496</v>
      </c>
      <c r="K22" s="30">
        <f>B2 * (B8 ^ (2)) * (B9 ^ (7))</f>
        <v>82.394692108177409</v>
      </c>
      <c r="L22" s="31">
        <f>B2 * (B8 ^ (2)) * (B9 ^ (8))</f>
        <v>79.264565305626817</v>
      </c>
      <c r="M22" s="22"/>
      <c r="N22" s="22"/>
    </row>
    <row r="23" spans="1:14" x14ac:dyDescent="0.2">
      <c r="A23" s="22"/>
      <c r="B23" s="29"/>
      <c r="C23" s="30">
        <f>B2 * (B8 ^ (1)) * (B9 ^ (0))</f>
        <v>103.94896104013375</v>
      </c>
      <c r="D23" s="30">
        <f>B2 * (B8 ^ (1)) * (B9 ^ (1))</f>
        <v>99.999999999999986</v>
      </c>
      <c r="E23" s="30">
        <f>B2 * (B8 ^ (1)) * (B9 ^ (2))</f>
        <v>96.201057710803752</v>
      </c>
      <c r="F23" s="30">
        <f>B2 * (B8 ^ (1)) * (B9 ^ (3))</f>
        <v>92.546435046773937</v>
      </c>
      <c r="G23" s="30">
        <f>B2 * (B8 ^ (1)) * (B9 ^ (4))</f>
        <v>89.030649388638523</v>
      </c>
      <c r="H23" s="30">
        <f>B2 * (B8 ^ (1)) * (B9 ^ (5))</f>
        <v>85.648426398667496</v>
      </c>
      <c r="I23" s="30">
        <f>B2 * (B8 ^ (1)) * (B9 ^ (6))</f>
        <v>82.394692108177395</v>
      </c>
      <c r="J23" s="30">
        <f>B2 * (B8 ^ (1)) * (B9 ^ (7))</f>
        <v>79.264565305626817</v>
      </c>
      <c r="K23" s="30">
        <f>B2 * (B8 ^ (1)) * (B9 ^ (8))</f>
        <v>76.253350213883792</v>
      </c>
      <c r="L23" s="31">
        <f>B2 * (B8 ^ (1)) * (B9 ^ (9))</f>
        <v>73.356529445679655</v>
      </c>
      <c r="M23" s="22"/>
      <c r="N23" s="22"/>
    </row>
    <row r="24" spans="1:14" x14ac:dyDescent="0.2">
      <c r="A24" s="22"/>
      <c r="B24" s="29">
        <f>B2 * (B8 ^ (0)) * (B9 ^ (0))</f>
        <v>100</v>
      </c>
      <c r="C24" s="30">
        <f>B2 * (B8 ^ (0)) * (B9 ^ (1))</f>
        <v>96.201057710803767</v>
      </c>
      <c r="D24" s="30">
        <f>B2 * (B8 ^ (0)) * (B9 ^ (2))</f>
        <v>92.546435046773951</v>
      </c>
      <c r="E24" s="30">
        <f>B2 * (B8 ^ (0)) * (B9 ^ (3))</f>
        <v>89.030649388638523</v>
      </c>
      <c r="F24" s="30">
        <f>B2 * (B8 ^ (0)) * (B9 ^ (4))</f>
        <v>85.64842639866751</v>
      </c>
      <c r="G24" s="30">
        <f>B2 * (B8 ^ (0)) * (B9 ^ (5))</f>
        <v>82.394692108177409</v>
      </c>
      <c r="H24" s="30">
        <f>B2 * (B8 ^ (0)) * (B9 ^ (6))</f>
        <v>79.264565305626817</v>
      </c>
      <c r="I24" s="30">
        <f>B2 * (B8 ^ (0)) * (B9 ^ (7))</f>
        <v>76.253350213883792</v>
      </c>
      <c r="J24" s="30">
        <f>B2 * (B8 ^ (0)) * (B9 ^ (8))</f>
        <v>73.356529445679655</v>
      </c>
      <c r="K24" s="30">
        <f>B2 * (B8 ^ (0)) * (B9 ^ (9))</f>
        <v>70.569757226681034</v>
      </c>
      <c r="L24" s="31">
        <f>B2 * (B8 ^ (0)) * (B9 ^ (10))</f>
        <v>67.88885287601353</v>
      </c>
      <c r="M24" s="22"/>
      <c r="N24" s="22"/>
    </row>
    <row r="25" spans="1:14" x14ac:dyDescent="0.2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 x14ac:dyDescent="0.25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24</v>
      </c>
      <c r="G26" s="33" t="s">
        <v>25</v>
      </c>
      <c r="H26" s="33" t="s">
        <v>26</v>
      </c>
      <c r="I26" s="33" t="s">
        <v>27</v>
      </c>
      <c r="J26" s="33" t="s">
        <v>28</v>
      </c>
      <c r="K26" s="33" t="s">
        <v>29</v>
      </c>
      <c r="L26" s="34" t="s">
        <v>30</v>
      </c>
      <c r="M26" s="28"/>
      <c r="N26" s="28"/>
    </row>
    <row r="28" spans="1:14" ht="13.5" thickBot="1" x14ac:dyDescent="0.25"/>
    <row r="29" spans="1:14" ht="13.5" thickBot="1" x14ac:dyDescent="0.25">
      <c r="A29" s="22"/>
      <c r="B29" s="73" t="s">
        <v>31</v>
      </c>
      <c r="C29" s="74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2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147.29958713933712</v>
      </c>
      <c r="M30" s="22"/>
      <c r="N30" s="22"/>
    </row>
    <row r="31" spans="1:14" x14ac:dyDescent="0.2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141.72738009337849</v>
      </c>
      <c r="L31" s="31">
        <f>$L$15</f>
        <v>136.32051673607288</v>
      </c>
      <c r="M31" s="22"/>
      <c r="N31" s="22"/>
    </row>
    <row r="32" spans="1:14" x14ac:dyDescent="0.2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136.3659644825218</v>
      </c>
      <c r="K32" s="30">
        <f>($B$10 *$L$31 + $B$11 *$L$32)</f>
        <v>131.16363776161296</v>
      </c>
      <c r="L32" s="31">
        <f>$L$16</f>
        <v>126.15977847657631</v>
      </c>
      <c r="M32" s="22"/>
      <c r="N32" s="22"/>
    </row>
    <row r="33" spans="1:25" x14ac:dyDescent="0.2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131.20736626187863</v>
      </c>
      <c r="J33" s="30">
        <f>($B$10 *$K$32 + $B$11 *$K$33)</f>
        <v>126.20183874572389</v>
      </c>
      <c r="K33" s="30">
        <f>($B$10 *$L$32 + $B$11 *$L$33)</f>
        <v>121.38727082603702</v>
      </c>
      <c r="L33" s="31">
        <f>$L$17</f>
        <v>116.7563774429786</v>
      </c>
      <c r="M33" s="22"/>
      <c r="N33" s="22"/>
    </row>
    <row r="34" spans="1:25" x14ac:dyDescent="0.2">
      <c r="A34" s="22"/>
      <c r="B34" s="29"/>
      <c r="C34" s="30"/>
      <c r="D34" s="30"/>
      <c r="E34" s="30"/>
      <c r="F34" s="30"/>
      <c r="G34" s="30"/>
      <c r="H34" s="30">
        <f>($B$10 *$I$33 + $B$11 *$I$34)</f>
        <v>126.24391303729814</v>
      </c>
      <c r="I34" s="30">
        <f>($B$10 *$J$33 + $B$11 *$J$34)</f>
        <v>121.42773999413234</v>
      </c>
      <c r="J34" s="30">
        <f>($B$10 *$K$33 + $B$11 *$K$34)</f>
        <v>116.79530272264577</v>
      </c>
      <c r="K34" s="30">
        <f>($B$10 *$L$33 + $B$11 *$L$34)</f>
        <v>112.33959175006996</v>
      </c>
      <c r="L34" s="31">
        <f>$L$18</f>
        <v>108.05386501323244</v>
      </c>
      <c r="M34" s="22"/>
      <c r="N34" s="22"/>
    </row>
    <row r="35" spans="1:25" x14ac:dyDescent="0.2">
      <c r="A35" s="22"/>
      <c r="B35" s="29"/>
      <c r="C35" s="30"/>
      <c r="D35" s="30"/>
      <c r="E35" s="30"/>
      <c r="F35" s="30"/>
      <c r="G35" s="30">
        <f>($B$10 *$H$34 + $B$11 *$H$35)</f>
        <v>121.46822265419888</v>
      </c>
      <c r="H35" s="30">
        <f>($B$10 *$I$34 + $B$11 *$I$35)</f>
        <v>116.83424097956893</v>
      </c>
      <c r="I35" s="30">
        <f>($B$10 *$J$34 + $B$11 *$J$35)</f>
        <v>112.37704452243526</v>
      </c>
      <c r="J35" s="30">
        <f>($B$10 *$K$34 + $B$11 *$K$35)</f>
        <v>108.0898889718964</v>
      </c>
      <c r="K35" s="30">
        <f>($B$10 *$L$34 + $B$11 *$L$35)</f>
        <v>103.96628731078954</v>
      </c>
      <c r="L35" s="31">
        <f>$L$19</f>
        <v>99.999999999999972</v>
      </c>
      <c r="M35" s="22"/>
      <c r="N35" s="22"/>
    </row>
    <row r="36" spans="1:25" x14ac:dyDescent="0.2">
      <c r="A36" s="22"/>
      <c r="B36" s="29"/>
      <c r="C36" s="30"/>
      <c r="D36" s="30"/>
      <c r="E36" s="30"/>
      <c r="F36" s="30">
        <f>($B$10 *$G$35 + $B$11 *$G$36)</f>
        <v>116.87319221807455</v>
      </c>
      <c r="G36" s="30">
        <f>($B$10 *$H$35 + $B$11 *$H$36)</f>
        <v>112.41450978113895</v>
      </c>
      <c r="H36" s="30">
        <f>($B$10 *$I$35 + $B$11 *$I$36)</f>
        <v>108.12592494054813</v>
      </c>
      <c r="I36" s="30">
        <f>($B$10 *$J$35 + $B$11 *$J$36)</f>
        <v>104.00094851643979</v>
      </c>
      <c r="J36" s="30">
        <f>($B$10 *$K$35 + $B$11 *$K$36)</f>
        <v>100.03333888950618</v>
      </c>
      <c r="K36" s="30">
        <f>($B$10 *$L$35 + $B$11 *$L$36)</f>
        <v>96.217092556622234</v>
      </c>
      <c r="L36" s="31">
        <f>$L$20</f>
        <v>92.546435046773937</v>
      </c>
      <c r="M36" s="22"/>
      <c r="N36" s="22"/>
    </row>
    <row r="37" spans="1:25" x14ac:dyDescent="0.2">
      <c r="A37" s="22"/>
      <c r="B37" s="29"/>
      <c r="C37" s="30"/>
      <c r="D37" s="30"/>
      <c r="E37" s="30">
        <f>($B$10 *$F$36 + $B$11 *$F$37)</f>
        <v>112.45198753034384</v>
      </c>
      <c r="F37" s="30">
        <f>($B$10 *$G$36 + $B$11 *$G$37)</f>
        <v>108.16197292319164</v>
      </c>
      <c r="G37" s="30">
        <f>($B$10 *$H$36 + $B$11 *$H$37)</f>
        <v>104.0356212777511</v>
      </c>
      <c r="H37" s="30">
        <f>($B$10 *$I$36 + $B$11 *$I$37)</f>
        <v>100.06668889382794</v>
      </c>
      <c r="I37" s="30">
        <f>($B$10 *$J$36 + $B$11 *$J$37)</f>
        <v>96.249170266795772</v>
      </c>
      <c r="J37" s="30">
        <f>($B$10 *$K$36 + $B$11 *$K$37)</f>
        <v>92.577289000496123</v>
      </c>
      <c r="K37" s="30">
        <f>($B$10 *$L$36 + $B$11 *$L$37)</f>
        <v>89.045489066808784</v>
      </c>
      <c r="L37" s="31">
        <f>$L$21</f>
        <v>85.648426398667496</v>
      </c>
      <c r="M37" s="22"/>
      <c r="N37" s="22"/>
    </row>
    <row r="38" spans="1:25" x14ac:dyDescent="0.2">
      <c r="A38" s="22"/>
      <c r="B38" s="29"/>
      <c r="C38" s="30"/>
      <c r="D38" s="30">
        <f>($B$10 *$E$37 + $B$11 *$E$38)</f>
        <v>108.19803292383224</v>
      </c>
      <c r="E38" s="30">
        <f>($B$10 *$F$37 + $B$11 *$F$38)</f>
        <v>104.070305598576</v>
      </c>
      <c r="F38" s="30">
        <f>($B$10 *$G$37 + $B$11 *$G$38)</f>
        <v>100.10005001667079</v>
      </c>
      <c r="G38" s="30">
        <f>($B$10 *$H$37 + $B$11 *$H$38)</f>
        <v>96.28125867132168</v>
      </c>
      <c r="H38" s="30">
        <f>($B$10 *$I$37 + $B$11 *$I$38)</f>
        <v>92.608153240583846</v>
      </c>
      <c r="I38" s="30">
        <f>($B$10 *$J$37 + $B$11 *$J$38)</f>
        <v>89.075175844019043</v>
      </c>
      <c r="J38" s="30">
        <f>($B$10 *$K$37 + $B$11 *$K$38)</f>
        <v>85.676980632908368</v>
      </c>
      <c r="K38" s="30">
        <f>($B$10 *$L$37 + $B$11 *$L$38)</f>
        <v>82.408425701296409</v>
      </c>
      <c r="L38" s="31">
        <f>$L$22</f>
        <v>79.264565305626817</v>
      </c>
      <c r="M38" s="22"/>
      <c r="N38" s="22"/>
    </row>
    <row r="39" spans="1:25" x14ac:dyDescent="0.2">
      <c r="A39" s="22"/>
      <c r="B39" s="29"/>
      <c r="C39" s="30">
        <f>($B$10 *$D$38 + $B$11 *$D$39)</f>
        <v>104.1050014827683</v>
      </c>
      <c r="D39" s="30">
        <f>($B$10 *$E$38 + $B$11 *$E$39)</f>
        <v>100.13342226174152</v>
      </c>
      <c r="E39" s="30">
        <f>($B$10 *$F$38 + $B$11 *$F$39)</f>
        <v>96.313357773765318</v>
      </c>
      <c r="F39" s="30">
        <f>($B$10 *$G$38 + $B$11 *$G$39)</f>
        <v>92.63902777046647</v>
      </c>
      <c r="G39" s="30">
        <f>($B$10 *$H$38 + $B$11 *$H$39)</f>
        <v>89.10487251847114</v>
      </c>
      <c r="H39" s="30">
        <f>($B$10 *$I$38 + $B$11 *$I$39)</f>
        <v>85.705544386813841</v>
      </c>
      <c r="I39" s="30">
        <f>($B$10 *$J$38 + $B$11 *$J$39)</f>
        <v>82.435899755284765</v>
      </c>
      <c r="J39" s="30">
        <f>($B$10 *$K$38 + $B$11 *$K$39)</f>
        <v>79.290991231471651</v>
      </c>
      <c r="K39" s="30">
        <f>($B$10 *$L$38 + $B$11 *$L$39)</f>
        <v>76.266060164719249</v>
      </c>
      <c r="L39" s="31">
        <f>$L$23</f>
        <v>73.356529445679655</v>
      </c>
      <c r="M39" s="22"/>
      <c r="N39" s="22"/>
    </row>
    <row r="40" spans="1:25" x14ac:dyDescent="0.2">
      <c r="A40" s="22"/>
      <c r="B40" s="35">
        <f>($B$10 *$C$39 + $B$11 *$C$40)</f>
        <v>100.16680563274815</v>
      </c>
      <c r="C40" s="30">
        <f>($B$10 *$D$39 + $B$11 *$D$40)</f>
        <v>96.345467577693228</v>
      </c>
      <c r="D40" s="30">
        <f>($B$10 *$E$39 + $B$11 *$E$40)</f>
        <v>92.669912593574523</v>
      </c>
      <c r="E40" s="30">
        <f>($B$10 *$F$39 + $B$11 *$F$40)</f>
        <v>89.134579093464737</v>
      </c>
      <c r="F40" s="30">
        <f>($B$10 *$G$39 + $B$11 *$G$40)</f>
        <v>85.734117663557655</v>
      </c>
      <c r="G40" s="30">
        <f>($B$10 *$H$39 + $B$11 *$H$40)</f>
        <v>82.463382968817641</v>
      </c>
      <c r="H40" s="30">
        <f>($B$10 *$I$39 + $B$11 *$I$40)</f>
        <v>79.317425967426686</v>
      </c>
      <c r="I40" s="30">
        <f>($B$10 *$J$39 + $B$11 *$J$40)</f>
        <v>76.291486422248312</v>
      </c>
      <c r="J40" s="30">
        <f>($B$10 *$K$39 + $B$11 *$K$40)</f>
        <v>73.380985697977138</v>
      </c>
      <c r="K40" s="30">
        <f>($B$10 *$L$39 + $B$11 *$L$40)</f>
        <v>70.581519833075447</v>
      </c>
      <c r="L40" s="31">
        <f>$L$24</f>
        <v>67.88885287601353</v>
      </c>
      <c r="M40" s="22"/>
      <c r="N40" s="22"/>
    </row>
    <row r="41" spans="1:25" x14ac:dyDescent="0.2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25" ht="13.5" thickBot="1" x14ac:dyDescent="0.25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24</v>
      </c>
      <c r="G42" s="33" t="s">
        <v>25</v>
      </c>
      <c r="H42" s="33" t="s">
        <v>26</v>
      </c>
      <c r="I42" s="33" t="s">
        <v>27</v>
      </c>
      <c r="J42" s="33" t="s">
        <v>28</v>
      </c>
      <c r="K42" s="33" t="s">
        <v>29</v>
      </c>
      <c r="L42" s="34" t="s">
        <v>30</v>
      </c>
      <c r="M42" s="28"/>
      <c r="N42" s="28"/>
    </row>
    <row r="43" spans="1:25" ht="13.5" thickBot="1" x14ac:dyDescent="0.25"/>
    <row r="44" spans="1:25" ht="13.5" thickBot="1" x14ac:dyDescent="0.25">
      <c r="B44" s="73" t="s">
        <v>17</v>
      </c>
      <c r="C44" s="74"/>
      <c r="O44" s="73" t="s">
        <v>17</v>
      </c>
      <c r="P44" s="74"/>
    </row>
    <row r="45" spans="1:25" x14ac:dyDescent="0.2">
      <c r="A45" s="22"/>
      <c r="B45" s="1">
        <v>0</v>
      </c>
      <c r="C45" s="1">
        <f>B45+1</f>
        <v>1</v>
      </c>
      <c r="D45" s="1">
        <f t="shared" ref="D45:L45" si="0">C45+1</f>
        <v>2</v>
      </c>
      <c r="E45" s="1">
        <f t="shared" si="0"/>
        <v>3</v>
      </c>
      <c r="F45" s="1">
        <f t="shared" si="0"/>
        <v>4</v>
      </c>
      <c r="G45" s="1">
        <f t="shared" si="0"/>
        <v>5</v>
      </c>
      <c r="H45" s="1">
        <f t="shared" si="0"/>
        <v>6</v>
      </c>
      <c r="I45" s="1">
        <f t="shared" si="0"/>
        <v>7</v>
      </c>
      <c r="J45" s="1">
        <f t="shared" si="0"/>
        <v>8</v>
      </c>
      <c r="K45" s="1">
        <f t="shared" si="0"/>
        <v>9</v>
      </c>
      <c r="L45" s="1">
        <f t="shared" si="0"/>
        <v>10</v>
      </c>
      <c r="M45" s="22"/>
      <c r="N45" s="22"/>
      <c r="O45" s="1">
        <v>0</v>
      </c>
      <c r="P45" s="1">
        <f>O45+1</f>
        <v>1</v>
      </c>
      <c r="Q45" s="1">
        <f t="shared" ref="Q45:Y45" si="1">P45+1</f>
        <v>2</v>
      </c>
      <c r="R45" s="1">
        <f t="shared" si="1"/>
        <v>3</v>
      </c>
      <c r="S45" s="1">
        <f t="shared" si="1"/>
        <v>4</v>
      </c>
      <c r="T45" s="1">
        <f t="shared" si="1"/>
        <v>5</v>
      </c>
      <c r="U45" s="1">
        <f t="shared" si="1"/>
        <v>6</v>
      </c>
      <c r="V45" s="1">
        <f t="shared" si="1"/>
        <v>7</v>
      </c>
      <c r="W45" s="1">
        <f t="shared" si="1"/>
        <v>8</v>
      </c>
      <c r="X45" s="1">
        <f t="shared" si="1"/>
        <v>9</v>
      </c>
      <c r="Y45" s="1">
        <f t="shared" si="1"/>
        <v>10</v>
      </c>
    </row>
    <row r="46" spans="1:25" x14ac:dyDescent="0.2">
      <c r="A46" s="22">
        <v>10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37.29958713933712</v>
      </c>
      <c r="N46" s="22">
        <v>10</v>
      </c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1">
        <f>(L30-$J$3)-MAX($J$2*( L30-$J$3), 0)</f>
        <v>0</v>
      </c>
    </row>
    <row r="47" spans="1:25" x14ac:dyDescent="0.2">
      <c r="A47" s="22">
        <f>A46-1</f>
        <v>9</v>
      </c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31.71680606245042</v>
      </c>
      <c r="L47" s="31">
        <f t="shared" ref="L47:L56" si="2">MAX($J$2*( L31-$J$3), 0)</f>
        <v>26.320516736072875</v>
      </c>
      <c r="N47" s="22">
        <f>N46-1</f>
        <v>9</v>
      </c>
      <c r="O47" s="29"/>
      <c r="P47" s="30"/>
      <c r="Q47" s="30"/>
      <c r="R47" s="30"/>
      <c r="S47" s="30"/>
      <c r="T47" s="30"/>
      <c r="U47" s="30"/>
      <c r="V47" s="30"/>
      <c r="W47" s="30"/>
      <c r="X47" s="30">
        <f>(K31-$J$3)-EXP(-$B$6 * $B$3/$B$5) * ($B$10 *$L$46 + $B$11 *$L$47)</f>
        <v>1.0574030928065525E-2</v>
      </c>
      <c r="Y47" s="31">
        <f t="shared" ref="Y47:Y56" si="3">(L31-$J$3)-MAX($J$2*( L31-$J$3), 0)</f>
        <v>0</v>
      </c>
    </row>
    <row r="48" spans="1:25" x14ac:dyDescent="0.2">
      <c r="A48" s="22">
        <f t="shared" ref="A48:A56" si="4">A47-1</f>
        <v>8</v>
      </c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26.34839303066822</v>
      </c>
      <c r="K48" s="30">
        <f>EXP(-$B$6 * $B$3/$B$5) * ($B$10 *$L$47 + $B$11 *$L$48)</f>
        <v>21.15658439131947</v>
      </c>
      <c r="L48" s="31">
        <f t="shared" si="2"/>
        <v>16.159778476576307</v>
      </c>
      <c r="N48" s="22">
        <f t="shared" ref="N48:N56" si="5">N47-1</f>
        <v>8</v>
      </c>
      <c r="O48" s="29"/>
      <c r="P48" s="30"/>
      <c r="Q48" s="30"/>
      <c r="R48" s="30"/>
      <c r="S48" s="30"/>
      <c r="T48" s="30"/>
      <c r="U48" s="30"/>
      <c r="V48" s="30"/>
      <c r="W48" s="30">
        <f>(J32-$J$3)-EXP(-$B$6 * $B$3/$B$5) * ($B$10 *$K$47 + $B$11 *$K$48)</f>
        <v>1.7571451853584108E-2</v>
      </c>
      <c r="X48" s="30">
        <f t="shared" ref="X48:X56" si="6">(K32-$J$3)-EXP(-$B$6 * $B$3/$B$5) * ($B$10 *$L$46 + $B$11 *$L$47)</f>
        <v>-10.553168300837459</v>
      </c>
      <c r="Y48" s="31">
        <f t="shared" si="3"/>
        <v>0</v>
      </c>
    </row>
    <row r="49" spans="1:25" x14ac:dyDescent="0.2">
      <c r="A49" s="22">
        <f t="shared" si="4"/>
        <v>7</v>
      </c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21.186169495766244</v>
      </c>
      <c r="J49" s="30">
        <f>EXP(-$B$6 * $B$3/$B$5) * ($B$10 *$K$48 + $B$11 *$K$49)</f>
        <v>16.191041119502085</v>
      </c>
      <c r="K49" s="30">
        <f>EXP(-$B$6 * $B$3/$B$5) * ($B$10 *$L$48 + $B$11 *$L$49)</f>
        <v>11.383475701650898</v>
      </c>
      <c r="L49" s="31">
        <f t="shared" si="2"/>
        <v>6.7563774429786037</v>
      </c>
      <c r="N49" s="22">
        <f t="shared" si="5"/>
        <v>7</v>
      </c>
      <c r="O49" s="29"/>
      <c r="P49" s="30"/>
      <c r="Q49" s="30"/>
      <c r="R49" s="30"/>
      <c r="S49" s="30"/>
      <c r="T49" s="30"/>
      <c r="U49" s="30"/>
      <c r="V49" s="30">
        <f>(I33-$J$3)-EXP(-$B$6 * $B$3/$B$5) * ($B$10 *$J$48 + $B$11 *$J$49)</f>
        <v>2.1196766112389298E-2</v>
      </c>
      <c r="W49" s="30">
        <f t="shared" ref="W49:W56" si="7">(J33-$J$3)-EXP(-$B$6 * $B$3/$B$5) * ($B$10 *$K$47 + $B$11 *$K$48)</f>
        <v>-10.14655428494433</v>
      </c>
      <c r="X49" s="30">
        <f t="shared" si="6"/>
        <v>-20.329535236413395</v>
      </c>
      <c r="Y49" s="31">
        <f t="shared" si="3"/>
        <v>0</v>
      </c>
    </row>
    <row r="50" spans="1:25" x14ac:dyDescent="0.2">
      <c r="A50" s="22">
        <f t="shared" si="4"/>
        <v>6</v>
      </c>
      <c r="B50" s="29"/>
      <c r="C50" s="30"/>
      <c r="D50" s="30"/>
      <c r="E50" s="30"/>
      <c r="F50" s="30"/>
      <c r="G50" s="30"/>
      <c r="H50" s="30">
        <f>EXP(-$B$6 * $B$3/$B$5) * ($B$10 *$I$49 + $B$11 *$I$50)</f>
        <v>16.351224636443231</v>
      </c>
      <c r="I50" s="30">
        <f>EXP(-$B$6 * $B$3/$B$5) * ($B$10 *$J$49 + $B$11 *$J$50)</f>
        <v>11.670487616201905</v>
      </c>
      <c r="J50" s="30">
        <f>EXP(-$B$6 * $B$3/$B$5) * ($B$10 *$K$49 + $B$11 *$K$50)</f>
        <v>7.2917383337518356</v>
      </c>
      <c r="K50" s="30">
        <f>EXP(-$B$6 * $B$3/$B$5) * ($B$10 *$L$49 + $B$11 *$L$50)</f>
        <v>3.3262046216983947</v>
      </c>
      <c r="L50" s="31">
        <f t="shared" si="2"/>
        <v>0</v>
      </c>
      <c r="N50" s="22">
        <f t="shared" si="5"/>
        <v>6</v>
      </c>
      <c r="O50" s="29"/>
      <c r="P50" s="30"/>
      <c r="Q50" s="30"/>
      <c r="R50" s="30"/>
      <c r="S50" s="30"/>
      <c r="T50" s="30"/>
      <c r="U50" s="30">
        <f>(H34 - $J$3) - EXP(-$B$6 * $B$3/$B$5) * ($B$10 *$I$49 + $B$11 *$I$50)</f>
        <v>-0.10731159914508837</v>
      </c>
      <c r="V50" s="30">
        <f t="shared" ref="V50:V56" si="8">(I34-$J$3)-EXP(-$B$6 * $B$3/$B$5) * ($B$10 *$J$48 + $B$11 *$J$49)</f>
        <v>-9.7584295016339055</v>
      </c>
      <c r="W50" s="30">
        <f t="shared" si="7"/>
        <v>-19.553090308022448</v>
      </c>
      <c r="X50" s="30">
        <f t="shared" si="6"/>
        <v>-29.377214312380463</v>
      </c>
      <c r="Y50" s="31">
        <f t="shared" si="3"/>
        <v>-1.9461349867675608</v>
      </c>
    </row>
    <row r="51" spans="1:25" x14ac:dyDescent="0.2">
      <c r="A51" s="22">
        <f t="shared" si="4"/>
        <v>5</v>
      </c>
      <c r="B51" s="29"/>
      <c r="C51" s="30"/>
      <c r="D51" s="30"/>
      <c r="E51" s="30"/>
      <c r="F51" s="30"/>
      <c r="G51" s="30">
        <f>EXP(-$B$6 * $B$3/$B$5) * ($B$10 *$H$50 + $B$11 *$H$51)</f>
        <v>12.10274299925128</v>
      </c>
      <c r="H51" s="30">
        <f>EXP(-$B$6 * $B$3/$B$5) * ($B$10 *$I$50 + $B$11 *$I$51)</f>
        <v>7.9882763566442625</v>
      </c>
      <c r="I51" s="30">
        <f>EXP(-$B$6 * $B$3/$B$5) * ($B$10 *$J$50 + $B$11 *$J$51)</f>
        <v>4.4205744604220429</v>
      </c>
      <c r="J51" s="30">
        <f>EXP(-$B$6 * $B$3/$B$5) * ($B$10 *$K$50 + $B$11 *$K$51)</f>
        <v>1.6375102307088201</v>
      </c>
      <c r="K51" s="30">
        <f>EXP(-$B$6 * $B$3/$B$5) * ($B$10 *$L$50 + $B$11 *$L$51)</f>
        <v>0</v>
      </c>
      <c r="L51" s="31">
        <f t="shared" si="2"/>
        <v>0</v>
      </c>
      <c r="N51" s="22">
        <f t="shared" si="5"/>
        <v>5</v>
      </c>
      <c r="O51" s="29"/>
      <c r="P51" s="30"/>
      <c r="Q51" s="30"/>
      <c r="R51" s="30"/>
      <c r="S51" s="30"/>
      <c r="T51" s="30">
        <f>(G35-$J$3)-EXP(-$B$6 * $B$3/$B$5) * ($B$10 *$H$50 + $B$11 *$H$51)</f>
        <v>-0.63452034505239752</v>
      </c>
      <c r="U51" s="30">
        <f t="shared" ref="U51:U56" si="9">(H35 - $J$3) - EXP(-$B$6 * $B$3/$B$5) * ($B$10 *$I$49 + $B$11 *$I$50)</f>
        <v>-9.5169836568742987</v>
      </c>
      <c r="V51" s="30">
        <f t="shared" si="8"/>
        <v>-18.809124973330988</v>
      </c>
      <c r="W51" s="30">
        <f t="shared" si="7"/>
        <v>-28.25850405877182</v>
      </c>
      <c r="X51" s="30">
        <f t="shared" si="6"/>
        <v>-37.750518751660877</v>
      </c>
      <c r="Y51" s="31">
        <f t="shared" si="3"/>
        <v>-10.000000000000028</v>
      </c>
    </row>
    <row r="52" spans="1:25" x14ac:dyDescent="0.2">
      <c r="A52" s="22">
        <f t="shared" si="4"/>
        <v>4</v>
      </c>
      <c r="B52" s="29"/>
      <c r="C52" s="30"/>
      <c r="D52" s="30"/>
      <c r="E52" s="30"/>
      <c r="F52" s="30">
        <f>EXP(-$B$6 * $B$3/$B$5) * ($B$10 *$G$51 + $B$11 *$G$52)</f>
        <v>8.6190291501239358</v>
      </c>
      <c r="G52" s="30">
        <f>EXP(-$B$6 * $B$3/$B$5) * ($B$10 *$H$51 + $B$11 *$H$52)</f>
        <v>5.2443489974675144</v>
      </c>
      <c r="H52" s="30">
        <f>EXP(-$B$6 * $B$3/$B$5) * ($B$10 *$I$51 + $B$11 *$I$52)</f>
        <v>2.5852869274817354</v>
      </c>
      <c r="I52" s="30">
        <f>EXP(-$B$6 * $B$3/$B$5) * ($B$10 *$J$51 + $B$11 *$J$52)</f>
        <v>0.80615598276298528</v>
      </c>
      <c r="J52" s="30">
        <f>EXP(-$B$6 * $B$3/$B$5) * ($B$10 *$K$51 + $B$11 *$K$52)</f>
        <v>0</v>
      </c>
      <c r="K52" s="30">
        <f>EXP(-$B$6 * $B$3/$B$5) * ($B$10 *$L$51 + $B$11 *$L$52)</f>
        <v>0</v>
      </c>
      <c r="L52" s="31">
        <f t="shared" si="2"/>
        <v>0</v>
      </c>
      <c r="N52" s="22">
        <f t="shared" si="5"/>
        <v>4</v>
      </c>
      <c r="O52" s="29"/>
      <c r="P52" s="30"/>
      <c r="Q52" s="30"/>
      <c r="R52" s="30"/>
      <c r="S52" s="30">
        <f>(F36-$J$3)-EXP(-$B$6 * $B$3/$B$5) * ($B$10 *$G$51 + $B$11 *$G$52)</f>
        <v>-1.7458369320493858</v>
      </c>
      <c r="T52" s="30">
        <f t="shared" ref="T52:T56" si="10">(G36-$J$3)-EXP(-$B$6 * $B$3/$B$5) * ($B$10 *$H$50 + $B$11 *$H$51)</f>
        <v>-9.6882332181123338</v>
      </c>
      <c r="U52" s="30">
        <f t="shared" si="9"/>
        <v>-18.225299695895099</v>
      </c>
      <c r="V52" s="30">
        <f t="shared" si="8"/>
        <v>-27.185220979326452</v>
      </c>
      <c r="W52" s="30">
        <f t="shared" si="7"/>
        <v>-36.315054141162037</v>
      </c>
      <c r="X52" s="30">
        <f t="shared" si="6"/>
        <v>-45.499713505828183</v>
      </c>
      <c r="Y52" s="31">
        <f t="shared" si="3"/>
        <v>-17.453564953226063</v>
      </c>
    </row>
    <row r="53" spans="1:25" x14ac:dyDescent="0.2">
      <c r="A53" s="22">
        <f t="shared" si="4"/>
        <v>3</v>
      </c>
      <c r="B53" s="29"/>
      <c r="C53" s="30"/>
      <c r="D53" s="30"/>
      <c r="E53" s="30">
        <f>EXP(-$B$6 * $B$3/$B$5) * ($B$10 *$F$52 + $B$11 *$F$53)</f>
        <v>5.9325736855333755</v>
      </c>
      <c r="F53" s="30">
        <f>EXP(-$B$6 * $B$3/$B$5) * ($B$10 *$G$52 + $B$11 *$G$53)</f>
        <v>3.329730235433507</v>
      </c>
      <c r="G53" s="30">
        <f>EXP(-$B$6 * $B$3/$B$5) * ($B$10 *$H$52 + $B$11 *$H$53)</f>
        <v>1.4741110650962053</v>
      </c>
      <c r="H53" s="30">
        <f>EXP(-$B$6 * $B$3/$B$5) * ($B$10 *$I$52 + $B$11 *$I$53)</f>
        <v>0.39687536380352351</v>
      </c>
      <c r="I53" s="30">
        <f>EXP(-$B$6 * $B$3/$B$5) * ($B$10 *$J$52 + $B$11 *$J$53)</f>
        <v>0</v>
      </c>
      <c r="J53" s="30">
        <f>EXP(-$B$6 * $B$3/$B$5) * ($B$10 *$K$52 + $B$11 *$K$53)</f>
        <v>0</v>
      </c>
      <c r="K53" s="30">
        <f>EXP(-$B$6 * $B$3/$B$5) * ($B$10 *$L$52 + $B$11 *$L$53)</f>
        <v>0</v>
      </c>
      <c r="L53" s="31">
        <f t="shared" si="2"/>
        <v>0</v>
      </c>
      <c r="N53" s="22">
        <f t="shared" si="5"/>
        <v>3</v>
      </c>
      <c r="O53" s="29"/>
      <c r="P53" s="30"/>
      <c r="Q53" s="30"/>
      <c r="R53" s="30">
        <f>(E37-$J$3)-EXP(-$B$6 * $B$3/$B$5) * ($B$10 *$F$52 + $B$11 *$F$53)</f>
        <v>-3.480586155189533</v>
      </c>
      <c r="S53" s="30">
        <f t="shared" ref="S53:S56" si="11">(F37-$J$3)-EXP(-$B$6 * $B$3/$B$5) * ($B$10 *$G$51 + $B$11 *$G$52)</f>
        <v>-10.457056226932295</v>
      </c>
      <c r="T53" s="30">
        <f t="shared" si="10"/>
        <v>-18.067121721500175</v>
      </c>
      <c r="U53" s="30">
        <f t="shared" si="9"/>
        <v>-26.284535742615287</v>
      </c>
      <c r="V53" s="30">
        <f t="shared" si="8"/>
        <v>-34.936999228970471</v>
      </c>
      <c r="W53" s="30">
        <f t="shared" si="7"/>
        <v>-43.771104030172097</v>
      </c>
      <c r="X53" s="30">
        <f t="shared" si="6"/>
        <v>-52.671316995641632</v>
      </c>
      <c r="Y53" s="31">
        <f t="shared" si="3"/>
        <v>-24.351573601332504</v>
      </c>
    </row>
    <row r="54" spans="1:25" x14ac:dyDescent="0.2">
      <c r="A54" s="22">
        <f t="shared" si="4"/>
        <v>2</v>
      </c>
      <c r="B54" s="29"/>
      <c r="C54" s="30"/>
      <c r="D54" s="30">
        <f>EXP(-$B$6 * $B$3/$B$5) * ($B$10 *$E$53 + $B$11 *$E$54)</f>
        <v>3.9646574335910638</v>
      </c>
      <c r="E54" s="30">
        <f>EXP(-$B$6 * $B$3/$B$5) * ($B$10 *$F$53 + $B$11 *$F$54)</f>
        <v>2.0577393400901141</v>
      </c>
      <c r="F54" s="30">
        <f>EXP(-$B$6 * $B$3/$B$5) * ($B$10 *$G$53 + $B$11 *$G$54)</f>
        <v>0.82484383520667937</v>
      </c>
      <c r="G54" s="30">
        <f>EXP(-$B$6 * $B$3/$B$5) * ($B$10 *$H$53 + $B$11 *$H$54)</f>
        <v>0.19538409161752515</v>
      </c>
      <c r="H54" s="30">
        <f>EXP(-$B$6 * $B$3/$B$5) * ($B$10 *$I$53 + $B$11 *$I$54)</f>
        <v>0</v>
      </c>
      <c r="I54" s="30">
        <f>EXP(-$B$6 * $B$3/$B$5) * ($B$10 *$J$53 + $B$11 *$J$54)</f>
        <v>0</v>
      </c>
      <c r="J54" s="30">
        <f>EXP(-$B$6 * $B$3/$B$5) * ($B$10 *$K$53 + $B$11 *$K$54)</f>
        <v>0</v>
      </c>
      <c r="K54" s="30">
        <f>EXP(-$B$6 * $B$3/$B$5) * ($B$10 *$L$53 + $B$11 *$L$54)</f>
        <v>0</v>
      </c>
      <c r="L54" s="31">
        <f t="shared" si="2"/>
        <v>0</v>
      </c>
      <c r="N54" s="22">
        <f t="shared" si="5"/>
        <v>2</v>
      </c>
      <c r="O54" s="29"/>
      <c r="P54" s="30"/>
      <c r="Q54" s="30">
        <f>(D38-$J$3)-EXP(-$B$6 * $B$3/$B$5) * ($B$10 *$E$53 + $B$11 *$E$54)</f>
        <v>-5.7666245097588202</v>
      </c>
      <c r="R54" s="30">
        <f t="shared" ref="R54:R56" si="12">(E38-$J$3)-EXP(-$B$6 * $B$3/$B$5) * ($B$10 *$F$52 + $B$11 *$F$53)</f>
        <v>-11.862268086957377</v>
      </c>
      <c r="S54" s="30">
        <f t="shared" si="11"/>
        <v>-18.518979133453144</v>
      </c>
      <c r="T54" s="30">
        <f t="shared" si="10"/>
        <v>-25.8214843279296</v>
      </c>
      <c r="U54" s="30">
        <f t="shared" si="9"/>
        <v>-33.743071395859388</v>
      </c>
      <c r="V54" s="30">
        <f t="shared" si="8"/>
        <v>-42.110993651747201</v>
      </c>
      <c r="W54" s="30">
        <f t="shared" si="7"/>
        <v>-50.671412397759852</v>
      </c>
      <c r="X54" s="30">
        <f t="shared" si="6"/>
        <v>-59.308380361154008</v>
      </c>
      <c r="Y54" s="31">
        <f t="shared" si="3"/>
        <v>-30.735434694373183</v>
      </c>
    </row>
    <row r="55" spans="1:25" x14ac:dyDescent="0.2">
      <c r="A55" s="22">
        <f t="shared" si="4"/>
        <v>1</v>
      </c>
      <c r="B55" s="29"/>
      <c r="C55" s="30">
        <f>EXP(-$B$6 * $B$3/$B$5) * ($B$10 *$D$54 + $B$11 *$D$55)</f>
        <v>2.5828921142479988</v>
      </c>
      <c r="D55" s="30">
        <f>EXP(-$B$6 * $B$3/$B$5) * ($B$10 *$E$54 + $B$11 *$E$55)</f>
        <v>1.2438244788182085</v>
      </c>
      <c r="E55" s="30">
        <f>EXP(-$B$6 * $B$3/$B$5) * ($B$10 *$F$54 + $B$11 *$F$55)</f>
        <v>0.45487790303745368</v>
      </c>
      <c r="F55" s="30">
        <f>EXP(-$B$6 * $B$3/$B$5) * ($B$10 *$G$54 + $B$11 *$G$55)</f>
        <v>9.6188745230616754E-2</v>
      </c>
      <c r="G55" s="30">
        <f>EXP(-$B$6 * $B$3/$B$5) * ($B$10 *$H$54 + $B$11 *$H$55)</f>
        <v>0</v>
      </c>
      <c r="H55" s="30">
        <f>EXP(-$B$6 * $B$3/$B$5) * ($B$10 *$I$54 + $B$11 *$I$55)</f>
        <v>0</v>
      </c>
      <c r="I55" s="30">
        <f>EXP(-$B$6 * $B$3/$B$5) * ($B$10 *$J$54 + $B$11 *$J$55)</f>
        <v>0</v>
      </c>
      <c r="J55" s="30">
        <f>EXP(-$B$6 * $B$3/$B$5) * ($B$10 *$K$54 + $B$11 *$K$55)</f>
        <v>0</v>
      </c>
      <c r="K55" s="30">
        <f>EXP(-$B$6 * $B$3/$B$5) * ($B$10 *$L$54 + $B$11 *$L$55)</f>
        <v>0</v>
      </c>
      <c r="L55" s="31">
        <f t="shared" si="2"/>
        <v>0</v>
      </c>
      <c r="N55" s="22">
        <f t="shared" si="5"/>
        <v>1</v>
      </c>
      <c r="O55" s="29"/>
      <c r="P55" s="30">
        <f>(C39-$J$3)-EXP(-$B$6 * $B$3/$B$5) * ($B$10 *$D$54 + $B$11 *$D$55)</f>
        <v>-8.4778906314796973</v>
      </c>
      <c r="Q55" s="30">
        <f t="shared" ref="Q55:Q56" si="13">(D39-$J$3)-EXP(-$B$6 * $B$3/$B$5) * ($B$10 *$E$53 + $B$11 *$E$54)</f>
        <v>-13.831235171849549</v>
      </c>
      <c r="R55" s="30">
        <f t="shared" si="12"/>
        <v>-19.619215911768059</v>
      </c>
      <c r="S55" s="30">
        <f t="shared" si="11"/>
        <v>-25.980001379657466</v>
      </c>
      <c r="T55" s="30">
        <f t="shared" si="10"/>
        <v>-32.997870480780136</v>
      </c>
      <c r="U55" s="30">
        <f t="shared" si="9"/>
        <v>-40.645680249629393</v>
      </c>
      <c r="V55" s="30">
        <f t="shared" si="8"/>
        <v>-48.750269740481478</v>
      </c>
      <c r="W55" s="30">
        <f t="shared" si="7"/>
        <v>-57.057401799196569</v>
      </c>
      <c r="X55" s="30">
        <f t="shared" si="6"/>
        <v>-65.450745897731167</v>
      </c>
      <c r="Y55" s="31">
        <f t="shared" si="3"/>
        <v>-36.643470554320345</v>
      </c>
    </row>
    <row r="56" spans="1:25" x14ac:dyDescent="0.2">
      <c r="A56" s="22">
        <f t="shared" si="4"/>
        <v>0</v>
      </c>
      <c r="B56" s="68">
        <f>EXP(-$B$6 * $B$3/$B$5) * ($B$10 *$C$55 + $B$11 *$C$56)</f>
        <v>1.6460813419389992</v>
      </c>
      <c r="C56" s="30">
        <f>EXP(-$B$6 * $B$3/$B$5) * ($B$10 *$D$55 + $B$11 *$D$56)</f>
        <v>0.73814977299052453</v>
      </c>
      <c r="D56" s="30">
        <f>EXP(-$B$6 * $B$3/$B$5) * ($B$10 *$E$55 + $B$11 *$E$56)</f>
        <v>0.24796479504506178</v>
      </c>
      <c r="E56" s="30">
        <f>EXP(-$B$6 * $B$3/$B$5) * ($B$10 *$F$55 + $B$11 *$F$56)</f>
        <v>4.7354288839197414E-2</v>
      </c>
      <c r="F56" s="30">
        <f>EXP(-$B$6 * $B$3/$B$5) * ($B$10 *$G$55 + $B$11 *$G$56)</f>
        <v>0</v>
      </c>
      <c r="G56" s="30">
        <f>EXP(-$B$6 * $B$3/$B$5) * ($B$10 *$H$55 + $B$11 *$H$56)</f>
        <v>0</v>
      </c>
      <c r="H56" s="30">
        <f>EXP(-$B$6 * $B$3/$B$5) * ($B$10 *$I$55 + $B$11 *$I$56)</f>
        <v>0</v>
      </c>
      <c r="I56" s="30">
        <f>EXP(-$B$6 * $B$3/$B$5) * ($B$10 *$J$55 + $B$11 *$J$56)</f>
        <v>0</v>
      </c>
      <c r="J56" s="30">
        <f>EXP(-$B$6 * $B$3/$B$5) * ($B$10 *$K$55 + $B$11 *$K$56)</f>
        <v>0</v>
      </c>
      <c r="K56" s="30">
        <f>EXP(-$B$6 * $B$3/$B$5) * ($B$10 *$L$55 + $B$11 *$L$56)</f>
        <v>0</v>
      </c>
      <c r="L56" s="31">
        <f t="shared" si="2"/>
        <v>0</v>
      </c>
      <c r="N56" s="22">
        <f t="shared" si="5"/>
        <v>0</v>
      </c>
      <c r="O56" s="25">
        <f>(B40-$J$3)-EXP(-$B$6 * $B$3/$B$5) * ($B$10 *$C$55 + $B$11 *$C$56)</f>
        <v>-11.479275709190848</v>
      </c>
      <c r="P56" s="30">
        <f>(C40-$J$3)-EXP(-$B$6 * $B$3/$B$5) * ($B$10 *$D$54 + $B$11 *$D$55)</f>
        <v>-16.237424536554769</v>
      </c>
      <c r="Q56" s="30">
        <f t="shared" si="13"/>
        <v>-21.294744840016541</v>
      </c>
      <c r="R56" s="30">
        <f t="shared" si="12"/>
        <v>-26.79799459206864</v>
      </c>
      <c r="S56" s="30">
        <f t="shared" si="11"/>
        <v>-32.884911486566281</v>
      </c>
      <c r="T56" s="30">
        <f t="shared" si="10"/>
        <v>-39.639360030433636</v>
      </c>
      <c r="U56" s="30">
        <f t="shared" si="9"/>
        <v>-47.033798669016548</v>
      </c>
      <c r="V56" s="30">
        <f t="shared" si="8"/>
        <v>-54.894683073517932</v>
      </c>
      <c r="W56" s="30">
        <f t="shared" si="7"/>
        <v>-62.967407332691081</v>
      </c>
      <c r="X56" s="30">
        <f t="shared" si="6"/>
        <v>-71.135286229374969</v>
      </c>
      <c r="Y56" s="31">
        <f t="shared" si="3"/>
        <v>-42.11114712398647</v>
      </c>
    </row>
    <row r="57" spans="1:25" x14ac:dyDescent="0.2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1"/>
    </row>
    <row r="58" spans="1:25" ht="13.5" thickBot="1" x14ac:dyDescent="0.25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24</v>
      </c>
      <c r="G58" s="33" t="s">
        <v>25</v>
      </c>
      <c r="H58" s="33" t="s">
        <v>26</v>
      </c>
      <c r="I58" s="33" t="s">
        <v>27</v>
      </c>
      <c r="J58" s="33" t="s">
        <v>28</v>
      </c>
      <c r="K58" s="33" t="s">
        <v>29</v>
      </c>
      <c r="L58" s="34" t="s">
        <v>30</v>
      </c>
      <c r="M58" s="28"/>
      <c r="N58" s="28"/>
      <c r="O58" s="32" t="s">
        <v>13</v>
      </c>
      <c r="P58" s="33" t="s">
        <v>14</v>
      </c>
      <c r="Q58" s="33" t="s">
        <v>15</v>
      </c>
      <c r="R58" s="33" t="s">
        <v>16</v>
      </c>
      <c r="S58" s="33" t="s">
        <v>24</v>
      </c>
      <c r="T58" s="33" t="s">
        <v>25</v>
      </c>
      <c r="U58" s="33" t="s">
        <v>26</v>
      </c>
      <c r="V58" s="33" t="s">
        <v>27</v>
      </c>
      <c r="W58" s="33" t="s">
        <v>28</v>
      </c>
      <c r="X58" s="33" t="s">
        <v>29</v>
      </c>
      <c r="Y58" s="34" t="s">
        <v>30</v>
      </c>
    </row>
    <row r="60" spans="1:25" ht="13.5" thickBot="1" x14ac:dyDescent="0.25"/>
    <row r="61" spans="1:25" ht="13.5" thickBot="1" x14ac:dyDescent="0.25">
      <c r="B61" s="73"/>
      <c r="C61" s="74"/>
      <c r="E61" s="22">
        <f t="shared" ref="E61:E71" si="14">(FACT($B$5) / (FACT($B$5 - A46)*FACT(A46)))*($B$10^A46)*($B$11^($B$5-A46))</f>
        <v>8.485197385876013E-2</v>
      </c>
      <c r="F61" s="22">
        <f t="shared" ref="F61:F71" si="15">E61*L46</f>
        <v>3.1649435928895788</v>
      </c>
      <c r="G61" s="1">
        <f>((1/$B$12)^15)*SUM(F61:F71)</f>
        <v>11.409211356531928</v>
      </c>
    </row>
    <row r="62" spans="1:25" x14ac:dyDescent="0.2">
      <c r="A62" s="22"/>
      <c r="E62" s="22">
        <f t="shared" si="14"/>
        <v>0.14574462596705273</v>
      </c>
      <c r="F62" s="22">
        <f t="shared" si="15"/>
        <v>3.8360738669584928</v>
      </c>
    </row>
    <row r="63" spans="1:25" x14ac:dyDescent="0.2">
      <c r="A63" s="22"/>
      <c r="B63" s="29"/>
      <c r="C63" s="30"/>
      <c r="D63" s="30"/>
      <c r="E63" s="22">
        <f t="shared" si="14"/>
        <v>0.19311627258349423</v>
      </c>
      <c r="F63" s="22">
        <f t="shared" si="15"/>
        <v>3.1207161851713932</v>
      </c>
      <c r="H63" s="30"/>
      <c r="I63" s="30"/>
      <c r="J63" s="30"/>
      <c r="K63" s="30"/>
      <c r="L63" s="31"/>
    </row>
    <row r="64" spans="1:25" x14ac:dyDescent="0.2">
      <c r="A64" s="22"/>
      <c r="B64" s="29"/>
      <c r="C64" s="30"/>
      <c r="D64" s="30"/>
      <c r="E64" s="22">
        <f t="shared" si="14"/>
        <v>0.19902183274615956</v>
      </c>
      <c r="F64" s="22">
        <f t="shared" si="15"/>
        <v>1.3446666214264129</v>
      </c>
      <c r="H64" s="30"/>
      <c r="I64" s="30"/>
      <c r="J64" s="30"/>
      <c r="K64" s="30"/>
      <c r="L64" s="31"/>
    </row>
    <row r="65" spans="1:12" x14ac:dyDescent="0.2">
      <c r="A65" s="22"/>
      <c r="B65" s="29"/>
      <c r="C65" s="30"/>
      <c r="D65" s="30"/>
      <c r="E65" s="22">
        <f t="shared" si="14"/>
        <v>0.1595284342652544</v>
      </c>
      <c r="F65" s="22">
        <f t="shared" si="15"/>
        <v>0</v>
      </c>
      <c r="H65" s="30"/>
      <c r="I65" s="30"/>
      <c r="J65" s="30"/>
      <c r="K65" s="30"/>
      <c r="L65" s="31"/>
    </row>
    <row r="66" spans="1:12" x14ac:dyDescent="0.2">
      <c r="A66" s="22"/>
      <c r="B66" s="29"/>
      <c r="C66" s="30"/>
      <c r="D66" s="30"/>
      <c r="E66" s="22">
        <f t="shared" si="14"/>
        <v>9.8644120263461949E-2</v>
      </c>
      <c r="F66" s="22">
        <f t="shared" si="15"/>
        <v>0</v>
      </c>
      <c r="H66" s="30"/>
      <c r="I66" s="30"/>
      <c r="J66" s="30"/>
      <c r="K66" s="30"/>
      <c r="L66" s="31"/>
    </row>
    <row r="67" spans="1:12" x14ac:dyDescent="0.2">
      <c r="A67" s="22"/>
      <c r="B67" s="29"/>
      <c r="C67" s="30"/>
      <c r="D67" s="30"/>
      <c r="E67" s="22">
        <f t="shared" si="14"/>
        <v>4.6209404741758005E-2</v>
      </c>
      <c r="F67" s="22">
        <f t="shared" si="15"/>
        <v>0</v>
      </c>
      <c r="H67" s="30"/>
      <c r="I67" s="30"/>
      <c r="J67" s="30"/>
      <c r="K67" s="30"/>
      <c r="L67" s="31"/>
    </row>
    <row r="68" spans="1:12" x14ac:dyDescent="0.2">
      <c r="A68" s="22"/>
      <c r="B68" s="29"/>
      <c r="C68" s="30"/>
      <c r="D68" s="30"/>
      <c r="E68" s="22">
        <f t="shared" si="14"/>
        <v>1.5874167927921162E-2</v>
      </c>
      <c r="F68" s="22">
        <f t="shared" si="15"/>
        <v>0</v>
      </c>
      <c r="H68" s="30"/>
      <c r="I68" s="30"/>
      <c r="J68" s="30"/>
      <c r="K68" s="30"/>
      <c r="L68" s="31"/>
    </row>
    <row r="69" spans="1:12" x14ac:dyDescent="0.2">
      <c r="A69" s="22"/>
      <c r="B69" s="29"/>
      <c r="C69" s="30"/>
      <c r="D69" s="30"/>
      <c r="E69" s="22">
        <f t="shared" si="14"/>
        <v>3.775293528214371E-3</v>
      </c>
      <c r="F69" s="22">
        <f t="shared" si="15"/>
        <v>0</v>
      </c>
      <c r="H69" s="30"/>
      <c r="I69" s="30"/>
      <c r="J69" s="30"/>
      <c r="K69" s="30"/>
      <c r="L69" s="31"/>
    </row>
    <row r="70" spans="1:12" x14ac:dyDescent="0.2">
      <c r="A70" s="22"/>
      <c r="B70" s="29"/>
      <c r="C70" s="30"/>
      <c r="D70" s="30"/>
      <c r="E70" s="22">
        <f t="shared" si="14"/>
        <v>5.5582046659413025E-4</v>
      </c>
      <c r="F70" s="22">
        <f t="shared" si="15"/>
        <v>0</v>
      </c>
      <c r="H70" s="30"/>
      <c r="I70" s="30"/>
      <c r="J70" s="30"/>
      <c r="K70" s="30"/>
      <c r="L70" s="31"/>
    </row>
    <row r="71" spans="1:12" x14ac:dyDescent="0.2">
      <c r="A71" s="22"/>
      <c r="B71" s="29"/>
      <c r="C71" s="30"/>
      <c r="D71" s="30"/>
      <c r="E71" s="22">
        <f t="shared" si="14"/>
        <v>3.8187842815977577E-5</v>
      </c>
      <c r="F71" s="22">
        <f t="shared" si="15"/>
        <v>0</v>
      </c>
      <c r="H71" s="30"/>
      <c r="I71" s="30"/>
      <c r="J71" s="30"/>
      <c r="K71" s="30"/>
      <c r="L71" s="31"/>
    </row>
    <row r="72" spans="1:12" x14ac:dyDescent="0.2">
      <c r="A72" s="22"/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1"/>
    </row>
    <row r="73" spans="1:12" x14ac:dyDescent="0.2">
      <c r="A73" s="22"/>
      <c r="B73" s="25"/>
      <c r="C73" s="30"/>
      <c r="D73" s="30"/>
      <c r="E73" s="30"/>
      <c r="F73" s="30"/>
      <c r="G73" s="30"/>
      <c r="H73" s="30"/>
      <c r="I73" s="30"/>
      <c r="J73" s="30"/>
      <c r="K73" s="30"/>
      <c r="L73" s="31"/>
    </row>
    <row r="74" spans="1:12" x14ac:dyDescent="0.2">
      <c r="A74" s="22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1"/>
    </row>
    <row r="75" spans="1:12" ht="13.5" thickBot="1" x14ac:dyDescent="0.25">
      <c r="A75" s="28"/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4"/>
    </row>
  </sheetData>
  <dataConsolidate/>
  <mergeCells count="8">
    <mergeCell ref="B61:C61"/>
    <mergeCell ref="O44:P44"/>
    <mergeCell ref="B44:C44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EuropeanCall_EG</vt:lpstr>
      <vt:lpstr>AmericanPut_EG</vt:lpstr>
      <vt:lpstr>10PeriodBinomialModel</vt:lpstr>
      <vt:lpstr>15PeriodBinomialModelCall</vt:lpstr>
      <vt:lpstr>15PeriodBinomialModelPut</vt:lpstr>
      <vt:lpstr>earlystoping</vt:lpstr>
      <vt:lpstr>FutOptEarly</vt:lpstr>
      <vt:lpstr>choserOption</vt:lpstr>
      <vt:lpstr>OptionsOnFuturesEG</vt:lpstr>
      <vt:lpstr>Q6-Q7</vt:lpstr>
      <vt:lpstr>OptionsOnFuturesEG!FuturesLattice</vt:lpstr>
      <vt:lpstr>OptionsOnFuturesEG!FuturesOptionLattice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Hermon Alfaro</cp:lastModifiedBy>
  <dcterms:created xsi:type="dcterms:W3CDTF">2013-01-29T14:00:58Z</dcterms:created>
  <dcterms:modified xsi:type="dcterms:W3CDTF">2019-08-22T23:02:05Z</dcterms:modified>
</cp:coreProperties>
</file>