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ublic\Hermoncito\Financial engineering I - COURSERA\week 6 -Term structure models II\"/>
    </mc:Choice>
  </mc:AlternateContent>
  <bookViews>
    <workbookView xWindow="0" yWindow="0" windowWidth="20490" windowHeight="7755" activeTab="4"/>
  </bookViews>
  <sheets>
    <sheet name="Q1" sheetId="2" r:id="rId1"/>
    <sheet name="Q2" sheetId="3" r:id="rId2"/>
    <sheet name="Q3" sheetId="6" r:id="rId3"/>
    <sheet name="Q4" sheetId="5" r:id="rId4"/>
    <sheet name="Q5" sheetId="8" r:id="rId5"/>
  </sheets>
  <externalReferences>
    <externalReference r:id="rId6"/>
  </externalReferences>
  <definedNames>
    <definedName name="beta">#REF!</definedName>
    <definedName name="d">#REF!</definedName>
    <definedName name="h" localSheetId="3">'Q4'!$C$2</definedName>
    <definedName name="h">#REF!</definedName>
    <definedName name="N">'[1]CDS pricing'!$B$2</definedName>
    <definedName name="NC">'Q5'!$B$2</definedName>
    <definedName name="qd">#REF!</definedName>
    <definedName name="qu">#REF!</definedName>
    <definedName name="r00">#REF!</definedName>
    <definedName name="rf" localSheetId="3">'Q4'!$F$2</definedName>
    <definedName name="rf">#REF!</definedName>
    <definedName name="rho">#REF!</definedName>
    <definedName name="S">#REF!</definedName>
    <definedName name="solver_adj" localSheetId="0" hidden="1">'Q1'!$C$5:$L$5</definedName>
    <definedName name="solver_adj" localSheetId="1" hidden="1">'Q2'!$C$5:$L$5</definedName>
    <definedName name="solver_adj" localSheetId="3" hidden="1">'Q4'!$A$6:$A$16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3" hidden="1">'Q4'!$A$10</definedName>
    <definedName name="solver_lhs10" localSheetId="3" hidden="1">'Q4'!$A$9</definedName>
    <definedName name="solver_lhs2" localSheetId="3" hidden="1">'Q4'!$A$11</definedName>
    <definedName name="solver_lhs3" localSheetId="3" hidden="1">'Q4'!$A$12</definedName>
    <definedName name="solver_lhs4" localSheetId="3" hidden="1">'Q4'!$A$13</definedName>
    <definedName name="solver_lhs5" localSheetId="3" hidden="1">'Q4'!$A$14</definedName>
    <definedName name="solver_lhs6" localSheetId="3" hidden="1">'Q4'!$A$15</definedName>
    <definedName name="solver_lhs7" localSheetId="3" hidden="1">'Q4'!$A$6</definedName>
    <definedName name="solver_lhs8" localSheetId="3" hidden="1">'Q4'!$A$7</definedName>
    <definedName name="solver_lhs9" localSheetId="3" hidden="1">'Q4'!$A$8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10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'Q1'!$D$42</definedName>
    <definedName name="solver_opt" localSheetId="1" hidden="1">'Q2'!$D$42</definedName>
    <definedName name="solver_opt" localSheetId="3" hidden="1">'Q4'!$J$21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3" hidden="1">1</definedName>
    <definedName name="solver_rel10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'Q4'!$A$11</definedName>
    <definedName name="solver_rhs10" localSheetId="3" hidden="1">'Q4'!$A$10</definedName>
    <definedName name="solver_rhs2" localSheetId="3" hidden="1">'Q4'!$A$12</definedName>
    <definedName name="solver_rhs3" localSheetId="3" hidden="1">'Q4'!$A$13</definedName>
    <definedName name="solver_rhs4" localSheetId="3" hidden="1">'Q4'!$A$14</definedName>
    <definedName name="solver_rhs5" localSheetId="3" hidden="1">'Q4'!$A$15</definedName>
    <definedName name="solver_rhs6" localSheetId="3" hidden="1">'Q4'!$A$16</definedName>
    <definedName name="solver_rhs7" localSheetId="3" hidden="1">'Q4'!$A$7</definedName>
    <definedName name="solver_rhs8" localSheetId="3" hidden="1">'Q4'!$A$8</definedName>
    <definedName name="solver_rhs9" localSheetId="3" hidden="1">'Q4'!$A$9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u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8" l="1"/>
  <c r="A20" i="5"/>
  <c r="C7" i="5"/>
  <c r="D7" i="5"/>
  <c r="J7" i="5"/>
  <c r="C8" i="5"/>
  <c r="D8" i="5"/>
  <c r="J8" i="5"/>
  <c r="J18" i="5"/>
  <c r="J20" i="5"/>
  <c r="P7" i="5"/>
  <c r="P8" i="5"/>
  <c r="C9" i="5"/>
  <c r="D9" i="5"/>
  <c r="P9" i="5"/>
  <c r="C10" i="5"/>
  <c r="D10" i="5"/>
  <c r="P10" i="5"/>
  <c r="P18" i="5"/>
  <c r="P20" i="5"/>
  <c r="V7" i="5"/>
  <c r="V8" i="5"/>
  <c r="V9" i="5"/>
  <c r="V10" i="5"/>
  <c r="C11" i="5"/>
  <c r="D11" i="5"/>
  <c r="V11" i="5"/>
  <c r="C12" i="5"/>
  <c r="D12" i="5"/>
  <c r="V12" i="5"/>
  <c r="V18" i="5"/>
  <c r="V20" i="5"/>
  <c r="AB7" i="5"/>
  <c r="AB8" i="5"/>
  <c r="AB9" i="5"/>
  <c r="AB10" i="5"/>
  <c r="AB11" i="5"/>
  <c r="AB12" i="5"/>
  <c r="C13" i="5"/>
  <c r="D13" i="5"/>
  <c r="AB13" i="5"/>
  <c r="C14" i="5"/>
  <c r="D14" i="5"/>
  <c r="AB14" i="5"/>
  <c r="AB18" i="5"/>
  <c r="AB20" i="5"/>
  <c r="AH7" i="5"/>
  <c r="AH8" i="5"/>
  <c r="AH9" i="5"/>
  <c r="AH10" i="5"/>
  <c r="AH11" i="5"/>
  <c r="AH12" i="5"/>
  <c r="AH13" i="5"/>
  <c r="AH14" i="5"/>
  <c r="C15" i="5"/>
  <c r="D15" i="5"/>
  <c r="AH15" i="5"/>
  <c r="C16" i="5"/>
  <c r="D16" i="5"/>
  <c r="AH16" i="5"/>
  <c r="AH18" i="5"/>
  <c r="AH20" i="5"/>
  <c r="J21" i="5"/>
  <c r="E7" i="5"/>
  <c r="K41" i="6"/>
  <c r="E65" i="2"/>
  <c r="F64" i="2"/>
  <c r="C58" i="2"/>
  <c r="K50" i="2"/>
  <c r="L49" i="2"/>
  <c r="J51" i="2"/>
  <c r="I52" i="2"/>
  <c r="H53" i="2"/>
  <c r="G54" i="2"/>
  <c r="F55" i="2"/>
  <c r="E56" i="2"/>
  <c r="D57" i="2"/>
  <c r="D41" i="2"/>
  <c r="D39" i="2"/>
  <c r="E38" i="2"/>
  <c r="D38" i="2"/>
  <c r="C21" i="2"/>
  <c r="D20" i="2"/>
  <c r="D21" i="2"/>
  <c r="L12" i="2"/>
  <c r="G31" i="6"/>
  <c r="E4" i="6"/>
  <c r="B3" i="6"/>
  <c r="B22" i="6"/>
  <c r="C21" i="6"/>
  <c r="D20" i="6"/>
  <c r="E19" i="6"/>
  <c r="F18" i="6"/>
  <c r="G17" i="6"/>
  <c r="H16" i="6"/>
  <c r="I15" i="6"/>
  <c r="J14" i="6"/>
  <c r="K13" i="6"/>
  <c r="K14" i="6"/>
  <c r="K42" i="6"/>
  <c r="J15" i="6"/>
  <c r="K15" i="6"/>
  <c r="K43" i="6"/>
  <c r="I16" i="6"/>
  <c r="J16" i="6"/>
  <c r="K16" i="6"/>
  <c r="K44" i="6"/>
  <c r="H17" i="6"/>
  <c r="I17" i="6"/>
  <c r="J17" i="6"/>
  <c r="K17" i="6"/>
  <c r="K45" i="6"/>
  <c r="G18" i="6"/>
  <c r="H18" i="6"/>
  <c r="I18" i="6"/>
  <c r="J18" i="6"/>
  <c r="K18" i="6"/>
  <c r="K46" i="6"/>
  <c r="F19" i="6"/>
  <c r="G19" i="6"/>
  <c r="H19" i="6"/>
  <c r="I19" i="6"/>
  <c r="J19" i="6"/>
  <c r="K19" i="6"/>
  <c r="K47" i="6"/>
  <c r="E20" i="6"/>
  <c r="F20" i="6"/>
  <c r="G20" i="6"/>
  <c r="H20" i="6"/>
  <c r="I20" i="6"/>
  <c r="J20" i="6"/>
  <c r="K20" i="6"/>
  <c r="K48" i="6"/>
  <c r="D21" i="6"/>
  <c r="E21" i="6"/>
  <c r="F21" i="6"/>
  <c r="G21" i="6"/>
  <c r="H21" i="6"/>
  <c r="I21" i="6"/>
  <c r="J21" i="6"/>
  <c r="K21" i="6"/>
  <c r="K49" i="6"/>
  <c r="C22" i="6"/>
  <c r="D22" i="6"/>
  <c r="E22" i="6"/>
  <c r="F22" i="6"/>
  <c r="G22" i="6"/>
  <c r="H22" i="6"/>
  <c r="I22" i="6"/>
  <c r="J22" i="6"/>
  <c r="K22" i="6"/>
  <c r="K50" i="6"/>
  <c r="J42" i="6"/>
  <c r="J43" i="6"/>
  <c r="J44" i="6"/>
  <c r="J45" i="6"/>
  <c r="J46" i="6"/>
  <c r="J47" i="6"/>
  <c r="J48" i="6"/>
  <c r="J49" i="6"/>
  <c r="J50" i="6"/>
  <c r="I43" i="6"/>
  <c r="I44" i="6"/>
  <c r="I45" i="6"/>
  <c r="I46" i="6"/>
  <c r="I47" i="6"/>
  <c r="I48" i="6"/>
  <c r="I49" i="6"/>
  <c r="I50" i="6"/>
  <c r="H44" i="6"/>
  <c r="H45" i="6"/>
  <c r="H46" i="6"/>
  <c r="H47" i="6"/>
  <c r="H48" i="6"/>
  <c r="H49" i="6"/>
  <c r="H50" i="6"/>
  <c r="G45" i="6"/>
  <c r="G46" i="6"/>
  <c r="G47" i="6"/>
  <c r="G48" i="6"/>
  <c r="G49" i="6"/>
  <c r="G50" i="6"/>
  <c r="F46" i="6"/>
  <c r="F47" i="6"/>
  <c r="F48" i="6"/>
  <c r="F49" i="6"/>
  <c r="F50" i="6"/>
  <c r="E47" i="6"/>
  <c r="E48" i="6"/>
  <c r="E49" i="6"/>
  <c r="E50" i="6"/>
  <c r="D48" i="6"/>
  <c r="D49" i="6"/>
  <c r="D50" i="6"/>
  <c r="C49" i="6"/>
  <c r="C50" i="6"/>
  <c r="B50" i="6"/>
  <c r="G56" i="3"/>
  <c r="D36" i="2"/>
  <c r="E36" i="2"/>
  <c r="E21" i="2"/>
  <c r="F36" i="2"/>
  <c r="F21" i="2"/>
  <c r="D35" i="2"/>
  <c r="E35" i="2"/>
  <c r="E20" i="2"/>
  <c r="F35" i="2"/>
  <c r="F20" i="2"/>
  <c r="G35" i="2"/>
  <c r="G20" i="2"/>
  <c r="E34" i="2"/>
  <c r="E19" i="2"/>
  <c r="F34" i="2"/>
  <c r="F19" i="2"/>
  <c r="G34" i="2"/>
  <c r="G19" i="2"/>
  <c r="H34" i="2"/>
  <c r="H19" i="2"/>
  <c r="F33" i="2"/>
  <c r="F18" i="2"/>
  <c r="G33" i="2"/>
  <c r="G18" i="2"/>
  <c r="H33" i="2"/>
  <c r="H18" i="2"/>
  <c r="I33" i="2"/>
  <c r="I18" i="2"/>
  <c r="G32" i="2"/>
  <c r="G17" i="2"/>
  <c r="H32" i="2"/>
  <c r="H17" i="2"/>
  <c r="I32" i="2"/>
  <c r="I17" i="2"/>
  <c r="J32" i="2"/>
  <c r="J17" i="2"/>
  <c r="H31" i="2"/>
  <c r="H16" i="2"/>
  <c r="I31" i="2"/>
  <c r="I16" i="2"/>
  <c r="J31" i="2"/>
  <c r="J16" i="2"/>
  <c r="K31" i="2"/>
  <c r="K16" i="2"/>
  <c r="I30" i="2"/>
  <c r="I15" i="2"/>
  <c r="J30" i="2"/>
  <c r="J15" i="2"/>
  <c r="K30" i="2"/>
  <c r="K15" i="2"/>
  <c r="L30" i="2"/>
  <c r="C15" i="8"/>
  <c r="C16" i="8"/>
  <c r="C17" i="8"/>
  <c r="B15" i="8"/>
  <c r="B16" i="8"/>
  <c r="B17" i="8"/>
  <c r="B18" i="8"/>
  <c r="B19" i="8"/>
  <c r="B20" i="8"/>
  <c r="B21" i="8"/>
  <c r="B22" i="8"/>
  <c r="B23" i="8"/>
  <c r="B24" i="8"/>
  <c r="B25" i="8"/>
  <c r="B26" i="8"/>
  <c r="B7" i="8"/>
  <c r="A16" i="8"/>
  <c r="A17" i="8"/>
  <c r="A18" i="8"/>
  <c r="A19" i="8"/>
  <c r="A20" i="8"/>
  <c r="A21" i="8"/>
  <c r="A22" i="8"/>
  <c r="A23" i="8"/>
  <c r="A24" i="8"/>
  <c r="A25" i="8"/>
  <c r="A26" i="8"/>
  <c r="A15" i="8"/>
  <c r="B2" i="8"/>
  <c r="C13" i="8"/>
  <c r="C12" i="8"/>
  <c r="C11" i="8"/>
  <c r="C10" i="8"/>
  <c r="C14" i="8"/>
  <c r="C7" i="8"/>
  <c r="C8" i="8"/>
  <c r="C9" i="8"/>
  <c r="H7" i="8"/>
  <c r="K7" i="8"/>
  <c r="L7" i="8"/>
  <c r="D7" i="8"/>
  <c r="H8" i="8"/>
  <c r="K8" i="8"/>
  <c r="B8" i="8"/>
  <c r="L8" i="8"/>
  <c r="D8" i="8"/>
  <c r="H9" i="8"/>
  <c r="K9" i="8"/>
  <c r="B9" i="8"/>
  <c r="L9" i="8"/>
  <c r="D9" i="8"/>
  <c r="H10" i="8"/>
  <c r="K10" i="8"/>
  <c r="B10" i="8"/>
  <c r="L10" i="8"/>
  <c r="D10" i="8"/>
  <c r="H11" i="8"/>
  <c r="K11" i="8"/>
  <c r="B11" i="8"/>
  <c r="L11" i="8"/>
  <c r="D11" i="8"/>
  <c r="H12" i="8"/>
  <c r="K12" i="8"/>
  <c r="B12" i="8"/>
  <c r="L12" i="8"/>
  <c r="D12" i="8"/>
  <c r="H13" i="8"/>
  <c r="K13" i="8"/>
  <c r="B13" i="8"/>
  <c r="L13" i="8"/>
  <c r="D13" i="8"/>
  <c r="H14" i="8"/>
  <c r="K14" i="8"/>
  <c r="B14" i="8"/>
  <c r="L14" i="8"/>
  <c r="P8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D14" i="8"/>
  <c r="F14" i="8"/>
  <c r="G14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P7" i="8"/>
  <c r="P9" i="8"/>
  <c r="E16" i="5"/>
  <c r="L41" i="6"/>
  <c r="L42" i="6"/>
  <c r="L43" i="6"/>
  <c r="L44" i="6"/>
  <c r="L45" i="6"/>
  <c r="L46" i="6"/>
  <c r="L47" i="6"/>
  <c r="L48" i="6"/>
  <c r="L49" i="6"/>
  <c r="L50" i="6"/>
  <c r="L40" i="6"/>
  <c r="D39" i="6"/>
  <c r="E39" i="6"/>
  <c r="F39" i="6"/>
  <c r="G39" i="6"/>
  <c r="H39" i="6"/>
  <c r="I39" i="6"/>
  <c r="J39" i="6"/>
  <c r="K39" i="6"/>
  <c r="L39" i="6"/>
  <c r="C39" i="6"/>
  <c r="B39" i="6"/>
  <c r="A49" i="6"/>
  <c r="A50" i="6"/>
  <c r="A42" i="6"/>
  <c r="A43" i="6"/>
  <c r="A44" i="6"/>
  <c r="A45" i="6"/>
  <c r="A46" i="6"/>
  <c r="A47" i="6"/>
  <c r="A48" i="6"/>
  <c r="A41" i="6"/>
  <c r="A40" i="6"/>
  <c r="L27" i="6"/>
  <c r="L26" i="6"/>
  <c r="C35" i="6"/>
  <c r="C36" i="6"/>
  <c r="L28" i="6"/>
  <c r="L29" i="6"/>
  <c r="L30" i="6"/>
  <c r="L31" i="6"/>
  <c r="L32" i="6"/>
  <c r="L33" i="6"/>
  <c r="L34" i="6"/>
  <c r="L35" i="6"/>
  <c r="K27" i="6"/>
  <c r="K28" i="6"/>
  <c r="K29" i="6"/>
  <c r="K30" i="6"/>
  <c r="K31" i="6"/>
  <c r="K32" i="6"/>
  <c r="K33" i="6"/>
  <c r="K34" i="6"/>
  <c r="K35" i="6"/>
  <c r="J28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30" i="6"/>
  <c r="H31" i="6"/>
  <c r="H32" i="6"/>
  <c r="H33" i="6"/>
  <c r="H34" i="6"/>
  <c r="H35" i="6"/>
  <c r="G32" i="6"/>
  <c r="G33" i="6"/>
  <c r="G34" i="6"/>
  <c r="G35" i="6"/>
  <c r="F32" i="6"/>
  <c r="F33" i="6"/>
  <c r="F34" i="6"/>
  <c r="F35" i="6"/>
  <c r="E33" i="6"/>
  <c r="E34" i="6"/>
  <c r="E35" i="6"/>
  <c r="D34" i="6"/>
  <c r="D35" i="6"/>
  <c r="D36" i="6"/>
  <c r="E36" i="6"/>
  <c r="F36" i="6"/>
  <c r="G36" i="6"/>
  <c r="H36" i="6"/>
  <c r="I36" i="6"/>
  <c r="J36" i="6"/>
  <c r="K36" i="6"/>
  <c r="L36" i="6"/>
  <c r="B36" i="6"/>
  <c r="E3" i="6"/>
  <c r="E2" i="6"/>
  <c r="E1" i="6"/>
  <c r="A28" i="6"/>
  <c r="A29" i="6"/>
  <c r="A30" i="6"/>
  <c r="A31" i="6"/>
  <c r="A32" i="6"/>
  <c r="A33" i="6"/>
  <c r="A34" i="6"/>
  <c r="A35" i="6"/>
  <c r="A36" i="6"/>
  <c r="A27" i="6"/>
  <c r="A26" i="6"/>
  <c r="D25" i="6"/>
  <c r="E25" i="6"/>
  <c r="F25" i="6"/>
  <c r="G25" i="6"/>
  <c r="H25" i="6"/>
  <c r="I25" i="6"/>
  <c r="J25" i="6"/>
  <c r="K25" i="6"/>
  <c r="L25" i="6"/>
  <c r="C25" i="6"/>
  <c r="B25" i="6"/>
  <c r="B5" i="6"/>
  <c r="L22" i="6"/>
  <c r="A12" i="6"/>
  <c r="A13" i="6"/>
  <c r="A14" i="6"/>
  <c r="A15" i="6"/>
  <c r="A16" i="6"/>
  <c r="A17" i="6"/>
  <c r="A18" i="6"/>
  <c r="A19" i="6"/>
  <c r="A20" i="6"/>
  <c r="A21" i="6"/>
  <c r="A22" i="6"/>
  <c r="B4" i="6"/>
  <c r="L21" i="6"/>
  <c r="L20" i="6"/>
  <c r="L19" i="6"/>
  <c r="L18" i="6"/>
  <c r="L17" i="6"/>
  <c r="L16" i="6"/>
  <c r="L15" i="6"/>
  <c r="L14" i="6"/>
  <c r="L13" i="6"/>
  <c r="L12" i="6"/>
  <c r="C11" i="6"/>
  <c r="D11" i="6"/>
  <c r="E11" i="6"/>
  <c r="F11" i="6"/>
  <c r="G11" i="6"/>
  <c r="H11" i="6"/>
  <c r="I11" i="6"/>
  <c r="J11" i="6"/>
  <c r="K11" i="6"/>
  <c r="L11" i="6"/>
  <c r="B6" i="6"/>
  <c r="B7" i="6"/>
  <c r="B2" i="6"/>
  <c r="F56" i="3"/>
  <c r="F65" i="3"/>
  <c r="E65" i="3"/>
  <c r="F57" i="3"/>
  <c r="F66" i="3"/>
  <c r="E66" i="3"/>
  <c r="D66" i="3"/>
  <c r="E67" i="3"/>
  <c r="D67" i="3"/>
  <c r="C67" i="3"/>
  <c r="C68" i="3"/>
  <c r="B6" i="3"/>
  <c r="C21" i="3"/>
  <c r="D20" i="3"/>
  <c r="E19" i="3"/>
  <c r="F18" i="3"/>
  <c r="B9" i="3"/>
  <c r="G17" i="3"/>
  <c r="H16" i="3"/>
  <c r="I15" i="3"/>
  <c r="J14" i="3"/>
  <c r="K13" i="3"/>
  <c r="L12" i="3"/>
  <c r="L49" i="3"/>
  <c r="B8" i="3"/>
  <c r="L13" i="3"/>
  <c r="L50" i="3"/>
  <c r="K50" i="3"/>
  <c r="K14" i="3"/>
  <c r="L14" i="3"/>
  <c r="L51" i="3"/>
  <c r="K51" i="3"/>
  <c r="J51" i="3"/>
  <c r="J15" i="3"/>
  <c r="K15" i="3"/>
  <c r="L15" i="3"/>
  <c r="L52" i="3"/>
  <c r="K52" i="3"/>
  <c r="J52" i="3"/>
  <c r="I52" i="3"/>
  <c r="I16" i="3"/>
  <c r="J16" i="3"/>
  <c r="K16" i="3"/>
  <c r="L16" i="3"/>
  <c r="L53" i="3"/>
  <c r="K53" i="3"/>
  <c r="J53" i="3"/>
  <c r="I53" i="3"/>
  <c r="H53" i="3"/>
  <c r="H17" i="3"/>
  <c r="I17" i="3"/>
  <c r="J17" i="3"/>
  <c r="K17" i="3"/>
  <c r="L17" i="3"/>
  <c r="L54" i="3"/>
  <c r="K54" i="3"/>
  <c r="J54" i="3"/>
  <c r="I54" i="3"/>
  <c r="H54" i="3"/>
  <c r="G54" i="3"/>
  <c r="G18" i="3"/>
  <c r="H18" i="3"/>
  <c r="I18" i="3"/>
  <c r="J18" i="3"/>
  <c r="K18" i="3"/>
  <c r="L18" i="3"/>
  <c r="L55" i="3"/>
  <c r="K55" i="3"/>
  <c r="J55" i="3"/>
  <c r="I55" i="3"/>
  <c r="H55" i="3"/>
  <c r="G55" i="3"/>
  <c r="F55" i="3"/>
  <c r="F64" i="3"/>
  <c r="F19" i="3"/>
  <c r="G19" i="3"/>
  <c r="H19" i="3"/>
  <c r="I19" i="3"/>
  <c r="J19" i="3"/>
  <c r="K19" i="3"/>
  <c r="L19" i="3"/>
  <c r="L56" i="3"/>
  <c r="K56" i="3"/>
  <c r="J56" i="3"/>
  <c r="I56" i="3"/>
  <c r="H56" i="3"/>
  <c r="E20" i="3"/>
  <c r="F20" i="3"/>
  <c r="G20" i="3"/>
  <c r="H20" i="3"/>
  <c r="I20" i="3"/>
  <c r="J20" i="3"/>
  <c r="K20" i="3"/>
  <c r="L20" i="3"/>
  <c r="L57" i="3"/>
  <c r="K57" i="3"/>
  <c r="J57" i="3"/>
  <c r="I57" i="3"/>
  <c r="H57" i="3"/>
  <c r="G57" i="3"/>
  <c r="D21" i="3"/>
  <c r="E21" i="3"/>
  <c r="F21" i="3"/>
  <c r="G21" i="3"/>
  <c r="H21" i="3"/>
  <c r="I21" i="3"/>
  <c r="J21" i="3"/>
  <c r="K21" i="3"/>
  <c r="L21" i="3"/>
  <c r="L58" i="3"/>
  <c r="K58" i="3"/>
  <c r="J58" i="3"/>
  <c r="I58" i="3"/>
  <c r="H58" i="3"/>
  <c r="G58" i="3"/>
  <c r="F58" i="3"/>
  <c r="F67" i="3"/>
  <c r="E58" i="3"/>
  <c r="E57" i="3"/>
  <c r="D58" i="3"/>
  <c r="E56" i="3"/>
  <c r="D57" i="3"/>
  <c r="C58" i="3"/>
  <c r="B49" i="3"/>
  <c r="B50" i="3"/>
  <c r="B51" i="3"/>
  <c r="B52" i="3"/>
  <c r="B53" i="3"/>
  <c r="B54" i="3"/>
  <c r="B55" i="3"/>
  <c r="B56" i="3"/>
  <c r="B57" i="3"/>
  <c r="B58" i="3"/>
  <c r="C47" i="3"/>
  <c r="D47" i="3"/>
  <c r="E47" i="3"/>
  <c r="F47" i="3"/>
  <c r="G47" i="3"/>
  <c r="H47" i="3"/>
  <c r="I47" i="3"/>
  <c r="J47" i="3"/>
  <c r="K47" i="3"/>
  <c r="L47" i="3"/>
  <c r="D35" i="3"/>
  <c r="D36" i="3"/>
  <c r="D38" i="3"/>
  <c r="D39" i="3"/>
  <c r="C4" i="3"/>
  <c r="D41" i="3"/>
  <c r="E34" i="3"/>
  <c r="E35" i="3"/>
  <c r="E36" i="3"/>
  <c r="E38" i="3"/>
  <c r="E39" i="3"/>
  <c r="D4" i="3"/>
  <c r="E41" i="3"/>
  <c r="F33" i="3"/>
  <c r="F34" i="3"/>
  <c r="F35" i="3"/>
  <c r="F36" i="3"/>
  <c r="F38" i="3"/>
  <c r="F39" i="3"/>
  <c r="E4" i="3"/>
  <c r="F41" i="3"/>
  <c r="G32" i="3"/>
  <c r="G33" i="3"/>
  <c r="G34" i="3"/>
  <c r="G35" i="3"/>
  <c r="G36" i="3"/>
  <c r="G38" i="3"/>
  <c r="G39" i="3"/>
  <c r="F4" i="3"/>
  <c r="G41" i="3"/>
  <c r="H31" i="3"/>
  <c r="H32" i="3"/>
  <c r="H33" i="3"/>
  <c r="H34" i="3"/>
  <c r="H35" i="3"/>
  <c r="H36" i="3"/>
  <c r="H38" i="3"/>
  <c r="H39" i="3"/>
  <c r="G4" i="3"/>
  <c r="H41" i="3"/>
  <c r="I30" i="3"/>
  <c r="I31" i="3"/>
  <c r="I32" i="3"/>
  <c r="I33" i="3"/>
  <c r="I34" i="3"/>
  <c r="I35" i="3"/>
  <c r="I36" i="3"/>
  <c r="I38" i="3"/>
  <c r="I39" i="3"/>
  <c r="H4" i="3"/>
  <c r="I41" i="3"/>
  <c r="J29" i="3"/>
  <c r="J30" i="3"/>
  <c r="J31" i="3"/>
  <c r="J32" i="3"/>
  <c r="J33" i="3"/>
  <c r="J34" i="3"/>
  <c r="J35" i="3"/>
  <c r="J36" i="3"/>
  <c r="J38" i="3"/>
  <c r="J39" i="3"/>
  <c r="I4" i="3"/>
  <c r="J41" i="3"/>
  <c r="K28" i="3"/>
  <c r="K29" i="3"/>
  <c r="K30" i="3"/>
  <c r="K31" i="3"/>
  <c r="K32" i="3"/>
  <c r="K33" i="3"/>
  <c r="K34" i="3"/>
  <c r="K35" i="3"/>
  <c r="K36" i="3"/>
  <c r="K38" i="3"/>
  <c r="K39" i="3"/>
  <c r="J4" i="3"/>
  <c r="K41" i="3"/>
  <c r="L27" i="3"/>
  <c r="L28" i="3"/>
  <c r="L29" i="3"/>
  <c r="L30" i="3"/>
  <c r="L31" i="3"/>
  <c r="L32" i="3"/>
  <c r="L33" i="3"/>
  <c r="L34" i="3"/>
  <c r="L35" i="3"/>
  <c r="L36" i="3"/>
  <c r="L38" i="3"/>
  <c r="L39" i="3"/>
  <c r="K4" i="3"/>
  <c r="L41" i="3"/>
  <c r="M26" i="3"/>
  <c r="M27" i="3"/>
  <c r="M28" i="3"/>
  <c r="M29" i="3"/>
  <c r="M30" i="3"/>
  <c r="M31" i="3"/>
  <c r="M32" i="3"/>
  <c r="M33" i="3"/>
  <c r="M34" i="3"/>
  <c r="M35" i="3"/>
  <c r="M36" i="3"/>
  <c r="M38" i="3"/>
  <c r="M39" i="3"/>
  <c r="L4" i="3"/>
  <c r="M41" i="3"/>
  <c r="D42" i="3"/>
  <c r="D34" i="3"/>
  <c r="E33" i="3"/>
  <c r="D33" i="3"/>
  <c r="F32" i="3"/>
  <c r="E32" i="3"/>
  <c r="D32" i="3"/>
  <c r="G31" i="3"/>
  <c r="F31" i="3"/>
  <c r="E31" i="3"/>
  <c r="D31" i="3"/>
  <c r="H30" i="3"/>
  <c r="G30" i="3"/>
  <c r="F30" i="3"/>
  <c r="E30" i="3"/>
  <c r="D30" i="3"/>
  <c r="I29" i="3"/>
  <c r="H29" i="3"/>
  <c r="G29" i="3"/>
  <c r="F29" i="3"/>
  <c r="E29" i="3"/>
  <c r="D29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L26" i="3"/>
  <c r="K26" i="3"/>
  <c r="J26" i="3"/>
  <c r="I26" i="3"/>
  <c r="H26" i="3"/>
  <c r="G26" i="3"/>
  <c r="F26" i="3"/>
  <c r="E26" i="3"/>
  <c r="D26" i="3"/>
  <c r="D19" i="3"/>
  <c r="E18" i="3"/>
  <c r="D18" i="3"/>
  <c r="F17" i="3"/>
  <c r="E17" i="3"/>
  <c r="D17" i="3"/>
  <c r="G16" i="3"/>
  <c r="F16" i="3"/>
  <c r="E16" i="3"/>
  <c r="D16" i="3"/>
  <c r="H15" i="3"/>
  <c r="G15" i="3"/>
  <c r="F15" i="3"/>
  <c r="E15" i="3"/>
  <c r="D15" i="3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4" i="2"/>
  <c r="L13" i="2"/>
  <c r="L50" i="2"/>
  <c r="L14" i="2"/>
  <c r="L51" i="2"/>
  <c r="K51" i="2"/>
  <c r="L15" i="2"/>
  <c r="L52" i="2"/>
  <c r="K52" i="2"/>
  <c r="J52" i="2"/>
  <c r="L16" i="2"/>
  <c r="L53" i="2"/>
  <c r="K53" i="2"/>
  <c r="J53" i="2"/>
  <c r="I53" i="2"/>
  <c r="K17" i="2"/>
  <c r="L17" i="2"/>
  <c r="L54" i="2"/>
  <c r="K54" i="2"/>
  <c r="J54" i="2"/>
  <c r="I54" i="2"/>
  <c r="H54" i="2"/>
  <c r="J18" i="2"/>
  <c r="K18" i="2"/>
  <c r="L18" i="2"/>
  <c r="L55" i="2"/>
  <c r="K55" i="2"/>
  <c r="J55" i="2"/>
  <c r="I55" i="2"/>
  <c r="H55" i="2"/>
  <c r="G55" i="2"/>
  <c r="I19" i="2"/>
  <c r="J19" i="2"/>
  <c r="K19" i="2"/>
  <c r="L19" i="2"/>
  <c r="L56" i="2"/>
  <c r="K56" i="2"/>
  <c r="J56" i="2"/>
  <c r="I56" i="2"/>
  <c r="H56" i="2"/>
  <c r="G56" i="2"/>
  <c r="F56" i="2"/>
  <c r="F65" i="2"/>
  <c r="H20" i="2"/>
  <c r="I20" i="2"/>
  <c r="J20" i="2"/>
  <c r="K20" i="2"/>
  <c r="L20" i="2"/>
  <c r="L57" i="2"/>
  <c r="K57" i="2"/>
  <c r="J57" i="2"/>
  <c r="I57" i="2"/>
  <c r="H57" i="2"/>
  <c r="G57" i="2"/>
  <c r="F57" i="2"/>
  <c r="F66" i="2"/>
  <c r="E66" i="2"/>
  <c r="G21" i="2"/>
  <c r="H21" i="2"/>
  <c r="I21" i="2"/>
  <c r="J21" i="2"/>
  <c r="K21" i="2"/>
  <c r="L21" i="2"/>
  <c r="L58" i="2"/>
  <c r="K58" i="2"/>
  <c r="J58" i="2"/>
  <c r="I58" i="2"/>
  <c r="H58" i="2"/>
  <c r="G58" i="2"/>
  <c r="F58" i="2"/>
  <c r="F67" i="2"/>
  <c r="E67" i="2"/>
  <c r="D67" i="2"/>
  <c r="J14" i="2"/>
  <c r="K13" i="2"/>
  <c r="D66" i="2"/>
  <c r="C67" i="2"/>
  <c r="C68" i="2"/>
  <c r="B49" i="2"/>
  <c r="E57" i="2"/>
  <c r="E58" i="2"/>
  <c r="D58" i="2"/>
  <c r="B9" i="2"/>
  <c r="G36" i="2"/>
  <c r="H36" i="2"/>
  <c r="I36" i="2"/>
  <c r="H35" i="2"/>
  <c r="I35" i="2"/>
  <c r="J35" i="2"/>
  <c r="I34" i="2"/>
  <c r="J34" i="2"/>
  <c r="K34" i="2"/>
  <c r="J33" i="2"/>
  <c r="K33" i="2"/>
  <c r="L33" i="2"/>
  <c r="D47" i="2"/>
  <c r="E47" i="2"/>
  <c r="F47" i="2"/>
  <c r="G47" i="2"/>
  <c r="H47" i="2"/>
  <c r="I47" i="2"/>
  <c r="J47" i="2"/>
  <c r="K47" i="2"/>
  <c r="L47" i="2"/>
  <c r="J36" i="2"/>
  <c r="K35" i="2"/>
  <c r="L34" i="2"/>
  <c r="K36" i="2"/>
  <c r="L35" i="2"/>
  <c r="L36" i="2"/>
  <c r="J29" i="2"/>
  <c r="K29" i="2"/>
  <c r="K28" i="2"/>
  <c r="L28" i="2"/>
  <c r="L29" i="2"/>
  <c r="K32" i="2"/>
  <c r="L31" i="2"/>
  <c r="L32" i="2"/>
  <c r="L27" i="2"/>
  <c r="L38" i="2"/>
  <c r="L39" i="2"/>
  <c r="L41" i="2"/>
  <c r="J38" i="2"/>
  <c r="J39" i="2"/>
  <c r="J41" i="2"/>
  <c r="I38" i="2"/>
  <c r="I39" i="2"/>
  <c r="I41" i="2"/>
  <c r="H38" i="2"/>
  <c r="H39" i="2"/>
  <c r="H41" i="2"/>
  <c r="G38" i="2"/>
  <c r="G39" i="2"/>
  <c r="G41" i="2"/>
  <c r="F38" i="2"/>
  <c r="F39" i="2"/>
  <c r="F41" i="2"/>
  <c r="E39" i="2"/>
  <c r="E41" i="2"/>
  <c r="K38" i="2"/>
  <c r="K39" i="2"/>
  <c r="K41" i="2"/>
  <c r="M27" i="2"/>
  <c r="M28" i="2"/>
  <c r="M29" i="2"/>
  <c r="M30" i="2"/>
  <c r="M31" i="2"/>
  <c r="M32" i="2"/>
  <c r="M33" i="2"/>
  <c r="M34" i="2"/>
  <c r="M35" i="2"/>
  <c r="M36" i="2"/>
  <c r="M26" i="2"/>
  <c r="M38" i="2"/>
  <c r="M39" i="2"/>
  <c r="M41" i="2"/>
  <c r="D42" i="2"/>
  <c r="B50" i="2"/>
  <c r="B51" i="2"/>
  <c r="B52" i="2"/>
  <c r="B53" i="2"/>
  <c r="B54" i="2"/>
  <c r="B55" i="2"/>
  <c r="B56" i="2"/>
  <c r="B57" i="2"/>
  <c r="B58" i="2"/>
  <c r="C47" i="2"/>
  <c r="L4" i="2"/>
  <c r="K4" i="2"/>
  <c r="J4" i="2"/>
  <c r="I4" i="2"/>
  <c r="H4" i="2"/>
  <c r="G4" i="2"/>
  <c r="F4" i="2"/>
  <c r="E4" i="2"/>
  <c r="D4" i="2"/>
  <c r="C4" i="2"/>
  <c r="B8" i="2"/>
  <c r="D26" i="2"/>
  <c r="D27" i="2"/>
  <c r="D28" i="2"/>
  <c r="D29" i="2"/>
  <c r="D30" i="2"/>
  <c r="D31" i="2"/>
  <c r="D32" i="2"/>
  <c r="D33" i="2"/>
  <c r="D34" i="2"/>
  <c r="E26" i="2"/>
  <c r="E27" i="2"/>
  <c r="E28" i="2"/>
  <c r="E29" i="2"/>
  <c r="E30" i="2"/>
  <c r="E31" i="2"/>
  <c r="E32" i="2"/>
  <c r="E33" i="2"/>
  <c r="F26" i="2"/>
  <c r="F27" i="2"/>
  <c r="F28" i="2"/>
  <c r="F29" i="2"/>
  <c r="F30" i="2"/>
  <c r="F31" i="2"/>
  <c r="F32" i="2"/>
  <c r="G26" i="2"/>
  <c r="G27" i="2"/>
  <c r="G28" i="2"/>
  <c r="G29" i="2"/>
  <c r="G30" i="2"/>
  <c r="G31" i="2"/>
  <c r="H26" i="2"/>
  <c r="H27" i="2"/>
  <c r="H28" i="2"/>
  <c r="H29" i="2"/>
  <c r="H30" i="2"/>
  <c r="I26" i="2"/>
  <c r="I27" i="2"/>
  <c r="I28" i="2"/>
  <c r="I29" i="2"/>
  <c r="J26" i="2"/>
  <c r="J27" i="2"/>
  <c r="J28" i="2"/>
  <c r="K26" i="2"/>
  <c r="K27" i="2"/>
  <c r="L26" i="2"/>
  <c r="D19" i="2"/>
  <c r="E18" i="2"/>
  <c r="D18" i="2"/>
  <c r="F17" i="2"/>
  <c r="E17" i="2"/>
  <c r="D17" i="2"/>
  <c r="G16" i="2"/>
  <c r="F16" i="2"/>
  <c r="E16" i="2"/>
  <c r="D16" i="2"/>
  <c r="H15" i="2"/>
  <c r="G15" i="2"/>
  <c r="F15" i="2"/>
  <c r="E15" i="2"/>
  <c r="D15" i="2"/>
  <c r="I14" i="2"/>
  <c r="H14" i="2"/>
  <c r="G14" i="2"/>
  <c r="F14" i="2"/>
  <c r="E14" i="2"/>
  <c r="D14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E8" i="5"/>
  <c r="E9" i="5"/>
  <c r="E10" i="5"/>
  <c r="E11" i="5"/>
  <c r="E12" i="5"/>
  <c r="E13" i="5"/>
  <c r="E14" i="5"/>
  <c r="E15" i="5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Times New Roman"/>
            <family val="1"/>
          </rPr>
          <t xml:space="preserve">Fixing the volatility parameter, b. This is not a good idea if we wish to use the model to price fixed derivatives that are sensitive to volatility, e.g. swaptions.
</t>
        </r>
      </text>
    </comment>
    <comment ref="D42" authorId="0" shapeId="0">
      <text>
        <r>
          <rPr>
            <sz val="10"/>
            <color rgb="FF000000"/>
            <rFont val="Times New Roman"/>
            <family val="1"/>
          </rPr>
          <t xml:space="preserve">Now use Solver to match the term structure of zero prices by setting the objective function to 0 and by varying cells C5 to P5.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Times New Roman"/>
            <family val="1"/>
          </rPr>
          <t xml:space="preserve">Fixing the volatility parameter, b. This is not a good idea if we wish to use the model to price fixed derivatives that are sensitive to volatility, e.g. swaptions.
</t>
        </r>
      </text>
    </comment>
    <comment ref="D42" authorId="0" shapeId="0">
      <text>
        <r>
          <rPr>
            <sz val="10"/>
            <color rgb="FF000000"/>
            <rFont val="Times New Roman"/>
            <family val="1"/>
          </rPr>
          <t xml:space="preserve">Now use Solver to match the term structure of zero prices by setting the objective function to 0 and by varying cells C5 to P5.
</t>
        </r>
      </text>
    </comment>
  </commentList>
</comments>
</file>

<file path=xl/sharedStrings.xml><?xml version="1.0" encoding="utf-8"?>
<sst xmlns="http://schemas.openxmlformats.org/spreadsheetml/2006/main" count="119" uniqueCount="63">
  <si>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</si>
  <si>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</si>
  <si>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</si>
  <si>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</si>
  <si>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</si>
  <si>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</si>
  <si>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</si>
  <si>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</si>
  <si>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</si>
  <si>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</si>
  <si>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</si>
  <si>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</si>
  <si>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</si>
  <si>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</si>
  <si>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</si>
  <si>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</si>
  <si>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</si>
  <si>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</si>
  <si>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</si>
  <si>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t>Fitting the Term-Structure of Zero Bond Prices in the Black-Derman-Toy Model</t>
  </si>
  <si>
    <t>Year</t>
  </si>
  <si>
    <t>Market Spot Rates</t>
  </si>
  <si>
    <t>a</t>
  </si>
  <si>
    <t>b</t>
  </si>
  <si>
    <t>q</t>
  </si>
  <si>
    <t>1-q</t>
  </si>
  <si>
    <t xml:space="preserve"> </t>
  </si>
  <si>
    <t>Short Rate Lattice</t>
  </si>
  <si>
    <t>Elementary Prices</t>
  </si>
  <si>
    <t>BDT Model ZCB Prices</t>
  </si>
  <si>
    <t>BDT Model Spot Rates</t>
  </si>
  <si>
    <t>Squared Differences</t>
  </si>
  <si>
    <t>Objective Function</t>
  </si>
  <si>
    <t>SWAP</t>
  </si>
  <si>
    <t>fixed rate</t>
  </si>
  <si>
    <t>SWAPTION</t>
  </si>
  <si>
    <t>Term Structure Lattice</t>
  </si>
  <si>
    <t>n</t>
  </si>
  <si>
    <t>r(0,0)</t>
  </si>
  <si>
    <t>u</t>
  </si>
  <si>
    <t>d</t>
  </si>
  <si>
    <t>SHORT RATE LATTICE</t>
  </si>
  <si>
    <t>ZCB</t>
  </si>
  <si>
    <t>hazard rates</t>
  </si>
  <si>
    <t>F</t>
  </si>
  <si>
    <t>R</t>
  </si>
  <si>
    <t xml:space="preserve">Spread </t>
  </si>
  <si>
    <t>Principal</t>
  </si>
  <si>
    <t xml:space="preserve">Interest </t>
  </si>
  <si>
    <t>Month</t>
  </si>
  <si>
    <t>Discount</t>
  </si>
  <si>
    <t>Survival probability (%)</t>
  </si>
  <si>
    <t>Fixed payment</t>
  </si>
  <si>
    <t>Expected value of premium (ExD)</t>
  </si>
  <si>
    <t>PV of premium (NxFxB)</t>
  </si>
  <si>
    <t>Default Prob. (%)</t>
  </si>
  <si>
    <t>Accrued interest (E/2xG)</t>
  </si>
  <si>
    <t>PV of accrued interest (NxIxB)</t>
  </si>
  <si>
    <t>Expected Protection payment (1-R)H</t>
  </si>
  <si>
    <t>PV of expected protection payment (NxKxB)</t>
  </si>
  <si>
    <t>Premium Leg</t>
  </si>
  <si>
    <t>Protection Leg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</si>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</sst>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rgb="FFA6CAF0"/>
        <bgColor rgb="FFA6CAF0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  <xf numFmtId="0" fontId="0" fillId="0" borderId="0" xfId="0" applyFont="1" applyAlignment="1"/>
    <xf numFmtId="0" fontId="6" fillId="4" borderId="6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2" fontId="6" fillId="5" borderId="1" xfId="0" applyNumberFormat="1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  <xf numFmtId="2" fontId="6" fillId="5" borderId="3" xfId="0" applyNumberFormat="1" applyFont="1" applyFill="1" applyBorder="1" applyAlignment="1">
      <alignment horizontal="center"/>
    </xf>
    <xf numFmtId="0" fontId="5" fillId="3" borderId="4" xfId="0" applyFont="1" applyFill="1" applyBorder="1"/>
    <xf numFmtId="0" fontId="6" fillId="0" borderId="11" xfId="0" applyFont="1" applyBorder="1" applyAlignment="1">
      <alignment horizontal="center"/>
    </xf>
    <xf numFmtId="0" fontId="5" fillId="3" borderId="7" xfId="0" applyFont="1" applyFill="1" applyBorder="1"/>
    <xf numFmtId="0" fontId="6" fillId="0" borderId="12" xfId="0" applyFont="1" applyBorder="1" applyAlignment="1">
      <alignment horizontal="center"/>
    </xf>
    <xf numFmtId="0" fontId="5" fillId="3" borderId="9" xfId="0" applyFont="1" applyFill="1" applyBorder="1"/>
    <xf numFmtId="0" fontId="6" fillId="0" borderId="13" xfId="0" applyFont="1" applyBorder="1" applyAlignment="1">
      <alignment horizontal="center"/>
    </xf>
    <xf numFmtId="0" fontId="6" fillId="0" borderId="0" xfId="0" applyFont="1"/>
    <xf numFmtId="2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/>
    <xf numFmtId="165" fontId="5" fillId="0" borderId="0" xfId="0" applyNumberFormat="1" applyFont="1"/>
    <xf numFmtId="165" fontId="5" fillId="0" borderId="14" xfId="0" applyNumberFormat="1" applyFont="1" applyBorder="1"/>
    <xf numFmtId="165" fontId="6" fillId="0" borderId="15" xfId="0" applyNumberFormat="1" applyFont="1" applyBorder="1"/>
    <xf numFmtId="165" fontId="6" fillId="0" borderId="16" xfId="0" applyNumberFormat="1" applyFont="1" applyBorder="1"/>
    <xf numFmtId="2" fontId="5" fillId="0" borderId="9" xfId="0" applyNumberFormat="1" applyFont="1" applyBorder="1"/>
    <xf numFmtId="2" fontId="6" fillId="0" borderId="17" xfId="0" applyNumberFormat="1" applyFont="1" applyBorder="1"/>
    <xf numFmtId="2" fontId="6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18" xfId="0" applyFont="1" applyBorder="1"/>
    <xf numFmtId="0" fontId="5" fillId="0" borderId="0" xfId="0" applyFont="1"/>
    <xf numFmtId="9" fontId="6" fillId="0" borderId="0" xfId="0" applyNumberFormat="1" applyFont="1"/>
    <xf numFmtId="10" fontId="6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3" borderId="7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165" fontId="0" fillId="7" borderId="0" xfId="0" applyNumberFormat="1" applyFont="1" applyFill="1" applyAlignment="1"/>
    <xf numFmtId="0" fontId="9" fillId="4" borderId="11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4" fillId="0" borderId="0" xfId="0" applyFont="1"/>
    <xf numFmtId="167" fontId="0" fillId="2" borderId="0" xfId="0" applyNumberFormat="1" applyFill="1"/>
    <xf numFmtId="167" fontId="0" fillId="0" borderId="0" xfId="0" applyNumberFormat="1"/>
    <xf numFmtId="0" fontId="1" fillId="0" borderId="0" xfId="0" applyFont="1" applyBorder="1" applyAlignment="1">
      <alignment wrapText="1"/>
    </xf>
    <xf numFmtId="2" fontId="0" fillId="9" borderId="19" xfId="0" applyNumberFormat="1" applyFill="1" applyBorder="1"/>
    <xf numFmtId="3" fontId="0" fillId="0" borderId="0" xfId="0" applyNumberFormat="1"/>
    <xf numFmtId="3" fontId="0" fillId="9" borderId="19" xfId="0" applyNumberFormat="1" applyFill="1" applyBorder="1"/>
    <xf numFmtId="165" fontId="1" fillId="0" borderId="0" xfId="0" applyNumberFormat="1" applyFont="1" applyBorder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1" fillId="0" borderId="0" xfId="0" applyFont="1" applyBorder="1" applyAlignment="1"/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3" borderId="4" xfId="0" applyFont="1" applyFill="1" applyBorder="1" applyAlignment="1">
      <alignment horizontal="left"/>
    </xf>
    <xf numFmtId="0" fontId="6" fillId="0" borderId="5" xfId="0" applyFont="1" applyBorder="1"/>
    <xf numFmtId="0" fontId="5" fillId="3" borderId="7" xfId="0" applyFont="1" applyFill="1" applyBorder="1" applyAlignment="1">
      <alignment horizontal="left"/>
    </xf>
    <xf numFmtId="0" fontId="6" fillId="0" borderId="8" xfId="0" applyFont="1" applyBorder="1"/>
    <xf numFmtId="0" fontId="5" fillId="3" borderId="9" xfId="0" applyFont="1" applyFill="1" applyBorder="1" applyAlignment="1">
      <alignment horizontal="left"/>
    </xf>
    <xf numFmtId="0" fontId="6" fillId="0" borderId="10" xfId="0" applyFont="1" applyBorder="1"/>
    <xf numFmtId="0" fontId="9" fillId="8" borderId="1" xfId="0" quotePrefix="1" applyFont="1" applyFill="1" applyBorder="1" applyAlignment="1">
      <alignment horizontal="center"/>
    </xf>
    <xf numFmtId="0" fontId="8" fillId="0" borderId="3" xfId="0" applyFont="1" applyBorder="1"/>
    <xf numFmtId="166" fontId="6" fillId="0" borderId="0" xfId="0" applyNumberFormat="1" applyFont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"/>
  <sheetViews>
    <sheetView topLeftCell="A61" workbookViewId="0">
      <selection activeCell="C68" sqref="C68"/>
    </sheetView>
  </sheetViews>
  <sheetFormatPr baseColWidth="10" defaultColWidth="8.85546875" defaultRowHeight="15" x14ac:dyDescent="0.25"/>
  <cols>
    <col min="3" max="3" width="12.5703125" bestFit="1" customWidth="1"/>
    <col min="4" max="4" width="10.7109375" bestFit="1" customWidth="1"/>
    <col min="7" max="7" width="9.42578125" bestFit="1" customWidth="1"/>
  </cols>
  <sheetData>
    <row r="1" spans="1:22" ht="15.75" thickBot="1" x14ac:dyDescent="0.3">
      <c r="A1" s="69" t="s">
        <v>19</v>
      </c>
      <c r="B1" s="70"/>
      <c r="C1" s="70"/>
      <c r="D1" s="70"/>
      <c r="E1" s="70"/>
      <c r="F1" s="70"/>
      <c r="G1" s="70"/>
      <c r="H1" s="7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5.75" thickBo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72" t="s">
        <v>20</v>
      </c>
      <c r="B3" s="73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/>
      <c r="N3" s="11"/>
      <c r="O3" s="11"/>
      <c r="P3" s="12"/>
      <c r="Q3" s="10"/>
      <c r="R3" s="10"/>
      <c r="S3" s="10"/>
      <c r="T3" s="10"/>
      <c r="U3" s="10"/>
      <c r="V3" s="10"/>
    </row>
    <row r="4" spans="1:22" ht="15.75" thickBot="1" x14ac:dyDescent="0.3">
      <c r="A4" s="74" t="s">
        <v>21</v>
      </c>
      <c r="B4" s="75"/>
      <c r="C4" s="13">
        <f>3</f>
        <v>3</v>
      </c>
      <c r="D4" s="13">
        <f>3.1</f>
        <v>3.1</v>
      </c>
      <c r="E4" s="13">
        <f>3.2</f>
        <v>3.2</v>
      </c>
      <c r="F4" s="13">
        <f>3.3</f>
        <v>3.3</v>
      </c>
      <c r="G4" s="13">
        <f>3.4</f>
        <v>3.4</v>
      </c>
      <c r="H4" s="13">
        <f>3.5</f>
        <v>3.5</v>
      </c>
      <c r="I4" s="13">
        <f>3.55</f>
        <v>3.55</v>
      </c>
      <c r="J4" s="13">
        <f>3.6</f>
        <v>3.6</v>
      </c>
      <c r="K4" s="13">
        <f>3.65</f>
        <v>3.65</v>
      </c>
      <c r="L4" s="13">
        <f>3.7</f>
        <v>3.7</v>
      </c>
      <c r="M4" s="13"/>
      <c r="N4" s="13"/>
      <c r="O4" s="13"/>
      <c r="P4" s="14"/>
      <c r="Q4" s="10"/>
      <c r="R4" s="10"/>
      <c r="S4" s="10"/>
      <c r="T4" s="10"/>
      <c r="U4" s="10"/>
      <c r="V4" s="10"/>
    </row>
    <row r="5" spans="1:22" ht="15.75" thickBot="1" x14ac:dyDescent="0.3">
      <c r="A5" s="76" t="s">
        <v>22</v>
      </c>
      <c r="B5" s="77"/>
      <c r="C5" s="15">
        <v>2.9999971447379661</v>
      </c>
      <c r="D5" s="16">
        <v>3.1201713358799403</v>
      </c>
      <c r="E5" s="16">
        <v>3.2326318137399559</v>
      </c>
      <c r="F5" s="16">
        <v>3.337706066197089</v>
      </c>
      <c r="G5" s="16">
        <v>3.4357097240547279</v>
      </c>
      <c r="H5" s="16">
        <v>3.5269464533511319</v>
      </c>
      <c r="I5" s="16">
        <v>3.3095329956578281</v>
      </c>
      <c r="J5" s="16">
        <v>3.3113055787535433</v>
      </c>
      <c r="K5" s="16">
        <v>3.3110645379965997</v>
      </c>
      <c r="L5" s="16">
        <v>3.3089154562167611</v>
      </c>
      <c r="M5" s="16"/>
      <c r="N5" s="16"/>
      <c r="O5" s="16"/>
      <c r="P5" s="17"/>
      <c r="Q5" s="10"/>
      <c r="R5" s="10"/>
      <c r="S5" s="10"/>
      <c r="T5" s="10"/>
      <c r="U5" s="10"/>
      <c r="V5" s="10"/>
    </row>
    <row r="6" spans="1:22" x14ac:dyDescent="0.25">
      <c r="A6" s="18" t="s">
        <v>23</v>
      </c>
      <c r="B6" s="19">
        <v>0.05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s="20" t="s">
        <v>24</v>
      </c>
      <c r="B7" s="21">
        <v>0.5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5.75" thickBot="1" x14ac:dyDescent="0.3">
      <c r="A8" s="22" t="s">
        <v>25</v>
      </c>
      <c r="B8" s="23">
        <f>1-B7</f>
        <v>0.5</v>
      </c>
      <c r="C8" s="10" t="s">
        <v>26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5.75" thickBot="1" x14ac:dyDescent="0.3">
      <c r="A9" s="46" t="s">
        <v>34</v>
      </c>
      <c r="B9" s="10">
        <f>0.039</f>
        <v>3.9E-2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5.75" thickBot="1" x14ac:dyDescent="0.3">
      <c r="A10" s="69" t="s">
        <v>27</v>
      </c>
      <c r="B10" s="7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0"/>
      <c r="R10" s="10"/>
      <c r="S10" s="10"/>
      <c r="T10" s="10"/>
      <c r="U10" s="10"/>
      <c r="V10" s="10"/>
    </row>
    <row r="11" spans="1:22" x14ac:dyDescent="0.25">
      <c r="A11" s="24"/>
      <c r="B11" s="24"/>
      <c r="C11" s="24">
        <v>0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  <c r="J11" s="24">
        <v>7</v>
      </c>
      <c r="K11" s="24">
        <v>8</v>
      </c>
      <c r="L11" s="24">
        <v>9</v>
      </c>
      <c r="M11" s="24"/>
      <c r="N11" s="24"/>
      <c r="O11" s="24"/>
      <c r="P11" s="24"/>
      <c r="Q11" s="10"/>
      <c r="R11" s="10"/>
      <c r="S11" s="10"/>
      <c r="T11" s="10"/>
      <c r="U11" s="10"/>
      <c r="V11" s="10"/>
    </row>
    <row r="12" spans="1:22" x14ac:dyDescent="0.25">
      <c r="A12" s="24"/>
      <c r="B12" s="24">
        <v>9</v>
      </c>
      <c r="C12" s="25"/>
      <c r="D12" s="25" t="str">
        <f t="shared" ref="D12:L21" si="0">IF( $B12 &lt;=D$11,D$5*EXP($B$6*$B12),"")</f>
        <v/>
      </c>
      <c r="E12" s="25" t="str">
        <f t="shared" si="0"/>
        <v/>
      </c>
      <c r="F12" s="25" t="str">
        <f t="shared" si="0"/>
        <v/>
      </c>
      <c r="G12" s="25" t="str">
        <f t="shared" si="0"/>
        <v/>
      </c>
      <c r="H12" s="25" t="str">
        <f t="shared" si="0"/>
        <v/>
      </c>
      <c r="I12" s="25" t="str">
        <f t="shared" si="0"/>
        <v/>
      </c>
      <c r="J12" s="25" t="str">
        <f t="shared" si="0"/>
        <v/>
      </c>
      <c r="K12" s="25" t="str">
        <f t="shared" si="0"/>
        <v/>
      </c>
      <c r="L12" s="25">
        <f>IF( $B12 &lt;=L$11,L$5*EXP($B$6*$B12),"")</f>
        <v>5.1894124307415082</v>
      </c>
      <c r="M12" s="25"/>
      <c r="N12" s="25"/>
      <c r="O12" s="25"/>
      <c r="P12" s="25"/>
      <c r="Q12" s="10"/>
      <c r="R12" s="10"/>
      <c r="S12" s="10"/>
      <c r="T12" s="10"/>
      <c r="U12" s="10"/>
      <c r="V12" s="10"/>
    </row>
    <row r="13" spans="1:22" x14ac:dyDescent="0.25">
      <c r="A13" s="24"/>
      <c r="B13" s="24">
        <v>8</v>
      </c>
      <c r="C13" s="25"/>
      <c r="D13" s="25" t="str">
        <f t="shared" si="0"/>
        <v/>
      </c>
      <c r="E13" s="25" t="str">
        <f t="shared" si="0"/>
        <v/>
      </c>
      <c r="F13" s="25" t="str">
        <f t="shared" si="0"/>
        <v/>
      </c>
      <c r="G13" s="25" t="str">
        <f t="shared" si="0"/>
        <v/>
      </c>
      <c r="H13" s="25" t="str">
        <f t="shared" si="0"/>
        <v/>
      </c>
      <c r="I13" s="25" t="str">
        <f t="shared" si="0"/>
        <v/>
      </c>
      <c r="J13" s="25" t="str">
        <f t="shared" si="0"/>
        <v/>
      </c>
      <c r="K13" s="25">
        <f t="shared" si="0"/>
        <v>4.93952785326751</v>
      </c>
      <c r="L13" s="25">
        <f t="shared" si="0"/>
        <v>4.936321799991096</v>
      </c>
      <c r="M13" s="25"/>
      <c r="N13" s="25"/>
      <c r="O13" s="25"/>
      <c r="P13" s="25"/>
      <c r="Q13" s="10"/>
      <c r="R13" s="10"/>
      <c r="S13" s="10"/>
      <c r="T13" s="10"/>
      <c r="U13" s="10"/>
      <c r="V13" s="10"/>
    </row>
    <row r="14" spans="1:22" x14ac:dyDescent="0.25">
      <c r="A14" s="24"/>
      <c r="B14" s="24">
        <v>7</v>
      </c>
      <c r="C14" s="25"/>
      <c r="D14" s="25" t="str">
        <f t="shared" si="0"/>
        <v/>
      </c>
      <c r="E14" s="25" t="str">
        <f t="shared" si="0"/>
        <v/>
      </c>
      <c r="F14" s="25" t="str">
        <f t="shared" si="0"/>
        <v/>
      </c>
      <c r="G14" s="25" t="str">
        <f t="shared" si="0"/>
        <v/>
      </c>
      <c r="H14" s="25" t="str">
        <f t="shared" si="0"/>
        <v/>
      </c>
      <c r="I14" s="25" t="str">
        <f t="shared" si="0"/>
        <v/>
      </c>
      <c r="J14" s="25">
        <f t="shared" si="0"/>
        <v>4.698966290284968</v>
      </c>
      <c r="K14" s="25">
        <f t="shared" si="0"/>
        <v>4.6986242371689011</v>
      </c>
      <c r="L14" s="25">
        <f t="shared" si="0"/>
        <v>4.6955745449558588</v>
      </c>
      <c r="M14" s="25"/>
      <c r="N14" s="25"/>
      <c r="O14" s="25"/>
      <c r="P14" s="25"/>
      <c r="Q14" s="10"/>
      <c r="R14" s="10"/>
      <c r="S14" s="10"/>
      <c r="T14" s="10"/>
      <c r="U14" s="10"/>
      <c r="V14" s="10"/>
    </row>
    <row r="15" spans="1:22" x14ac:dyDescent="0.25">
      <c r="A15" s="24"/>
      <c r="B15" s="24">
        <v>6</v>
      </c>
      <c r="C15" s="25"/>
      <c r="D15" s="25" t="str">
        <f t="shared" si="0"/>
        <v/>
      </c>
      <c r="E15" s="25" t="str">
        <f t="shared" si="0"/>
        <v/>
      </c>
      <c r="F15" s="25" t="str">
        <f t="shared" si="0"/>
        <v/>
      </c>
      <c r="G15" s="25" t="str">
        <f t="shared" si="0"/>
        <v/>
      </c>
      <c r="H15" s="25" t="str">
        <f t="shared" si="0"/>
        <v/>
      </c>
      <c r="I15" s="25">
        <f t="shared" si="0"/>
        <v>4.4674022631521133</v>
      </c>
      <c r="J15" s="25">
        <f t="shared" si="0"/>
        <v>4.4697950000560249</v>
      </c>
      <c r="K15" s="25">
        <f t="shared" si="0"/>
        <v>4.4694696290672802</v>
      </c>
      <c r="L15" s="25">
        <f t="shared" si="0"/>
        <v>4.466568672098564</v>
      </c>
      <c r="M15" s="25"/>
      <c r="N15" s="25"/>
      <c r="O15" s="25"/>
      <c r="P15" s="25"/>
      <c r="Q15" s="10"/>
      <c r="R15" s="10"/>
      <c r="S15" s="10"/>
      <c r="T15" s="10"/>
      <c r="U15" s="10"/>
      <c r="V15" s="10"/>
    </row>
    <row r="16" spans="1:22" x14ac:dyDescent="0.25">
      <c r="A16" s="24"/>
      <c r="B16" s="24">
        <v>5</v>
      </c>
      <c r="C16" s="25"/>
      <c r="D16" s="25" t="str">
        <f t="shared" si="0"/>
        <v/>
      </c>
      <c r="E16" s="25" t="str">
        <f t="shared" si="0"/>
        <v/>
      </c>
      <c r="F16" s="25" t="str">
        <f t="shared" si="0"/>
        <v/>
      </c>
      <c r="G16" s="25" t="str">
        <f t="shared" si="0"/>
        <v/>
      </c>
      <c r="H16" s="25">
        <f t="shared" si="0"/>
        <v>4.5286888893995387</v>
      </c>
      <c r="I16" s="25">
        <f t="shared" si="0"/>
        <v>4.2495244837913715</v>
      </c>
      <c r="J16" s="25">
        <f t="shared" si="0"/>
        <v>4.2518005255394611</v>
      </c>
      <c r="K16" s="25">
        <f t="shared" si="0"/>
        <v>4.2514910230810878</v>
      </c>
      <c r="L16" s="25">
        <f t="shared" si="0"/>
        <v>4.248731547453235</v>
      </c>
      <c r="M16" s="25"/>
      <c r="N16" s="25"/>
      <c r="O16" s="25"/>
      <c r="P16" s="25"/>
      <c r="Q16" s="10"/>
      <c r="R16" s="10"/>
      <c r="S16" s="10"/>
      <c r="T16" s="10"/>
      <c r="U16" s="10"/>
      <c r="V16" s="10"/>
    </row>
    <row r="17" spans="1:22" x14ac:dyDescent="0.25">
      <c r="A17" s="24"/>
      <c r="B17" s="24">
        <v>4</v>
      </c>
      <c r="C17" s="25"/>
      <c r="D17" s="25" t="str">
        <f t="shared" si="0"/>
        <v/>
      </c>
      <c r="E17" s="25" t="str">
        <f t="shared" si="0"/>
        <v/>
      </c>
      <c r="F17" s="25" t="str">
        <f t="shared" si="0"/>
        <v/>
      </c>
      <c r="G17" s="25">
        <f t="shared" si="0"/>
        <v>4.1963853331981609</v>
      </c>
      <c r="H17" s="25">
        <f t="shared" si="0"/>
        <v>4.3078221260063012</v>
      </c>
      <c r="I17" s="25">
        <f t="shared" si="0"/>
        <v>4.0422727291185607</v>
      </c>
      <c r="J17" s="25">
        <f t="shared" si="0"/>
        <v>4.0444377670007352</v>
      </c>
      <c r="K17" s="25">
        <f t="shared" si="0"/>
        <v>4.0441433591553757</v>
      </c>
      <c r="L17" s="25">
        <f t="shared" si="0"/>
        <v>4.0415184647419684</v>
      </c>
      <c r="M17" s="25"/>
      <c r="N17" s="25"/>
      <c r="O17" s="25"/>
      <c r="P17" s="25"/>
      <c r="Q17" s="10"/>
      <c r="R17" s="10"/>
      <c r="S17" s="10"/>
      <c r="T17" s="10"/>
      <c r="U17" s="10"/>
      <c r="V17" s="10"/>
    </row>
    <row r="18" spans="1:22" x14ac:dyDescent="0.25">
      <c r="A18" s="24"/>
      <c r="B18" s="24">
        <v>3</v>
      </c>
      <c r="C18" s="25"/>
      <c r="D18" s="25" t="str">
        <f t="shared" si="0"/>
        <v/>
      </c>
      <c r="E18" s="25" t="str">
        <f t="shared" si="0"/>
        <v/>
      </c>
      <c r="F18" s="25">
        <f t="shared" si="0"/>
        <v>3.8778611998696917</v>
      </c>
      <c r="G18" s="25">
        <f t="shared" si="0"/>
        <v>3.9917252054813233</v>
      </c>
      <c r="H18" s="25">
        <f t="shared" si="0"/>
        <v>4.0977271617724158</v>
      </c>
      <c r="I18" s="25">
        <f t="shared" si="0"/>
        <v>3.845128761794379</v>
      </c>
      <c r="J18" s="25">
        <f t="shared" si="0"/>
        <v>3.8471882095330621</v>
      </c>
      <c r="K18" s="25">
        <f t="shared" si="0"/>
        <v>3.8469081601277519</v>
      </c>
      <c r="L18" s="25">
        <f t="shared" si="0"/>
        <v>3.844411283325512</v>
      </c>
      <c r="M18" s="25"/>
      <c r="N18" s="25"/>
      <c r="O18" s="25"/>
      <c r="P18" s="25"/>
      <c r="Q18" s="10"/>
      <c r="R18" s="10"/>
      <c r="S18" s="10"/>
      <c r="T18" s="10"/>
      <c r="U18" s="10"/>
      <c r="V18" s="10"/>
    </row>
    <row r="19" spans="1:22" x14ac:dyDescent="0.25">
      <c r="A19" s="24"/>
      <c r="B19" s="24">
        <v>2</v>
      </c>
      <c r="C19" s="25"/>
      <c r="D19" s="25" t="str">
        <f t="shared" si="0"/>
        <v/>
      </c>
      <c r="E19" s="25">
        <f t="shared" si="0"/>
        <v>3.5726106693915334</v>
      </c>
      <c r="F19" s="25">
        <f t="shared" si="0"/>
        <v>3.6887356774456954</v>
      </c>
      <c r="G19" s="25">
        <f t="shared" si="0"/>
        <v>3.797046469974994</v>
      </c>
      <c r="H19" s="25">
        <f t="shared" si="0"/>
        <v>3.8978786498537201</v>
      </c>
      <c r="I19" s="25">
        <f t="shared" si="0"/>
        <v>3.6575996192128106</v>
      </c>
      <c r="J19" s="25">
        <f t="shared" si="0"/>
        <v>3.6595586265000675</v>
      </c>
      <c r="K19" s="25">
        <f t="shared" si="0"/>
        <v>3.6592922352654225</v>
      </c>
      <c r="L19" s="25">
        <f t="shared" si="0"/>
        <v>3.6569171325817784</v>
      </c>
      <c r="M19" s="25"/>
      <c r="N19" s="25"/>
      <c r="O19" s="25"/>
      <c r="P19" s="25"/>
      <c r="Q19" s="10"/>
      <c r="R19" s="10"/>
      <c r="S19" s="10"/>
      <c r="T19" s="10"/>
      <c r="U19" s="10"/>
      <c r="V19" s="10"/>
    </row>
    <row r="20" spans="1:22" x14ac:dyDescent="0.25">
      <c r="A20" s="24"/>
      <c r="B20" s="24">
        <v>1</v>
      </c>
      <c r="C20" s="25"/>
      <c r="D20" s="25">
        <f>IF( $B20 &lt;=D$11,D$5*EXP($B$6*$B20),"")</f>
        <v>3.2801459411515488</v>
      </c>
      <c r="E20" s="25">
        <f t="shared" si="0"/>
        <v>3.3983723910104189</v>
      </c>
      <c r="F20" s="25">
        <f t="shared" si="0"/>
        <v>3.5088339155919201</v>
      </c>
      <c r="G20" s="25">
        <f t="shared" si="0"/>
        <v>3.6118623284367812</v>
      </c>
      <c r="H20" s="25">
        <f t="shared" si="0"/>
        <v>3.7077768648739742</v>
      </c>
      <c r="I20" s="25">
        <f t="shared" si="0"/>
        <v>3.4792163808378325</v>
      </c>
      <c r="J20" s="25">
        <f t="shared" si="0"/>
        <v>3.4810798462122823</v>
      </c>
      <c r="K20" s="25">
        <f t="shared" si="0"/>
        <v>3.4808264470314589</v>
      </c>
      <c r="L20" s="25">
        <f t="shared" si="0"/>
        <v>3.4785671794725666</v>
      </c>
      <c r="M20" s="25"/>
      <c r="N20" s="25"/>
      <c r="O20" s="25"/>
      <c r="P20" s="25"/>
      <c r="Q20" s="10"/>
      <c r="R20" s="10"/>
      <c r="S20" s="10"/>
      <c r="T20" s="10"/>
      <c r="U20" s="10"/>
      <c r="V20" s="10"/>
    </row>
    <row r="21" spans="1:22" x14ac:dyDescent="0.25">
      <c r="A21" s="24"/>
      <c r="B21" s="24">
        <v>0</v>
      </c>
      <c r="C21" s="80">
        <f>C$5*EXP($B$6*0)</f>
        <v>2.9999971447379661</v>
      </c>
      <c r="D21" s="26">
        <f>IF( $B21 &lt;=D$11,D$5*EXP($B$6*$B21),"")</f>
        <v>3.1201713358799403</v>
      </c>
      <c r="E21" s="25">
        <f t="shared" si="0"/>
        <v>3.2326318137399559</v>
      </c>
      <c r="F21" s="25">
        <f t="shared" si="0"/>
        <v>3.337706066197089</v>
      </c>
      <c r="G21" s="25">
        <f t="shared" si="0"/>
        <v>3.4357097240547279</v>
      </c>
      <c r="H21" s="25">
        <f t="shared" si="0"/>
        <v>3.5269464533511319</v>
      </c>
      <c r="I21" s="25">
        <f t="shared" si="0"/>
        <v>3.3095329956578281</v>
      </c>
      <c r="J21" s="25">
        <f t="shared" si="0"/>
        <v>3.3113055787535433</v>
      </c>
      <c r="K21" s="25">
        <f t="shared" si="0"/>
        <v>3.3110645379965997</v>
      </c>
      <c r="L21" s="25">
        <f t="shared" si="0"/>
        <v>3.3089154562167611</v>
      </c>
      <c r="M21" s="25"/>
      <c r="N21" s="25"/>
      <c r="O21" s="25"/>
      <c r="P21" s="25"/>
      <c r="Q21" s="10"/>
      <c r="R21" s="10"/>
      <c r="S21" s="10"/>
      <c r="T21" s="10"/>
      <c r="U21" s="10"/>
      <c r="V21" s="10"/>
    </row>
    <row r="22" spans="1:22" x14ac:dyDescent="0.25">
      <c r="A22" s="24"/>
      <c r="M22" s="25"/>
      <c r="N22" s="25"/>
      <c r="O22" s="25"/>
      <c r="P22" s="25"/>
      <c r="Q22" s="10"/>
      <c r="R22" s="10"/>
      <c r="S22" s="10"/>
      <c r="T22" s="10"/>
      <c r="U22" s="10"/>
      <c r="V22" s="10"/>
    </row>
    <row r="23" spans="1:22" ht="15.75" thickBot="1" x14ac:dyDescent="0.3">
      <c r="A23" s="24"/>
      <c r="M23" s="25"/>
      <c r="N23" s="25"/>
      <c r="O23" s="25"/>
      <c r="P23" s="25"/>
      <c r="Q23" s="10"/>
      <c r="R23" s="10"/>
      <c r="S23" s="10"/>
      <c r="T23" s="10"/>
      <c r="U23" s="10"/>
      <c r="V23" s="10"/>
    </row>
    <row r="24" spans="1:22" ht="15.75" thickBot="1" x14ac:dyDescent="0.3">
      <c r="A24" s="42" t="s">
        <v>28</v>
      </c>
      <c r="B24" s="3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5"/>
      <c r="O24" s="25"/>
      <c r="P24" s="25"/>
      <c r="Q24" s="10"/>
      <c r="R24" s="10"/>
      <c r="S24" s="10"/>
      <c r="T24" s="10"/>
      <c r="U24" s="10"/>
      <c r="V24" s="10"/>
    </row>
    <row r="25" spans="1:22" x14ac:dyDescent="0.25">
      <c r="A25" s="10"/>
      <c r="B25" s="10"/>
      <c r="C25" s="10">
        <v>0</v>
      </c>
      <c r="D25" s="10">
        <v>1</v>
      </c>
      <c r="E25" s="10">
        <v>2</v>
      </c>
      <c r="F25" s="10">
        <v>3</v>
      </c>
      <c r="G25" s="10">
        <v>4</v>
      </c>
      <c r="H25" s="10">
        <v>5</v>
      </c>
      <c r="I25" s="10">
        <v>6</v>
      </c>
      <c r="J25" s="10">
        <v>7</v>
      </c>
      <c r="K25" s="10">
        <v>8</v>
      </c>
      <c r="L25" s="10">
        <v>9</v>
      </c>
      <c r="M25" s="10">
        <v>10</v>
      </c>
      <c r="N25" s="25"/>
      <c r="O25" s="25"/>
      <c r="P25" s="25"/>
      <c r="Q25" s="10"/>
      <c r="R25" s="10"/>
      <c r="S25" s="10"/>
      <c r="T25" s="10"/>
      <c r="U25" s="10"/>
      <c r="V25" s="10"/>
    </row>
    <row r="26" spans="1:22" x14ac:dyDescent="0.25">
      <c r="A26" s="10"/>
      <c r="B26" s="10">
        <v>10</v>
      </c>
      <c r="C26" s="27"/>
      <c r="D26" s="27" t="str">
        <f>IF($B26=0,$B$8*C26/(1+#REF!/100), IF($B26=D$25, $B$7*C27/(1 +C12/100 ), IF(AND(0 &lt; $B26, $B26 &lt; D$25), $B$7*C27/(1+C12/100) + $B$8*C26/(1+#REF!/100 ),"")))</f>
        <v/>
      </c>
      <c r="E26" s="27" t="str">
        <f>IF($B26=0,$B$8*D26/(1+#REF!/100), IF($B26=E$25, $B$7*D27/(1 +D12/100 ), IF(AND(0 &lt; $B26, $B26 &lt; E$25), $B$7*D27/(1+D12/100) + $B$8*D26/(1+#REF!/100 ),"")))</f>
        <v/>
      </c>
      <c r="F26" s="27" t="str">
        <f>IF($B26=0,$B$8*E26/(1+#REF!/100), IF($B26=F$25, $B$7*E27/(1 +E12/100 ), IF(AND(0 &lt; $B26, $B26 &lt; F$25), $B$7*E27/(1+E12/100) + $B$8*E26/(1+#REF!/100 ),"")))</f>
        <v/>
      </c>
      <c r="G26" s="27" t="str">
        <f>IF($B26=0,$B$8*F26/(1+#REF!/100), IF($B26=G$25, $B$7*F27/(1 +F12/100 ), IF(AND(0 &lt; $B26, $B26 &lt; G$25), $B$7*F27/(1+F12/100) + $B$8*F26/(1+#REF!/100 ),"")))</f>
        <v/>
      </c>
      <c r="H26" s="27" t="str">
        <f>IF($B26=0,$B$8*G26/(1+#REF!/100), IF($B26=H$25, $B$7*G27/(1 +G12/100 ), IF(AND(0 &lt; $B26, $B26 &lt; H$25), $B$7*G27/(1+G12/100) + $B$8*G26/(1+#REF!/100 ),"")))</f>
        <v/>
      </c>
      <c r="I26" s="27" t="str">
        <f>IF($B26=0,$B$8*H26/(1+#REF!/100), IF($B26=I$25, $B$7*H27/(1 +H12/100 ), IF(AND(0 &lt; $B26, $B26 &lt; I$25), $B$7*H27/(1+H12/100) + $B$8*H26/(1+#REF!/100 ),"")))</f>
        <v/>
      </c>
      <c r="J26" s="27" t="str">
        <f>IF($B26=0,$B$8*I26/(1+#REF!/100), IF($B26=J$25, $B$7*I27/(1 +I12/100 ), IF(AND(0 &lt; $B26, $B26 &lt; J$25), $B$7*I27/(1+I12/100) + $B$8*I26/(1+#REF!/100 ),"")))</f>
        <v/>
      </c>
      <c r="K26" s="27" t="str">
        <f>IF($B26=0,$B$8*J26/(1+#REF!/100), IF($B26=K$25, $B$7*J27/(1 +J12/100 ), IF(AND(0 &lt; $B26, $B26 &lt; K$25), $B$7*J27/(1+J12/100) + $B$8*J26/(1+#REF!/100 ),"")))</f>
        <v/>
      </c>
      <c r="L26" s="27" t="str">
        <f>IF($B26=0,$B$8*K26/(1+#REF!/100), IF($B26=L$25, $B$7*K27/(1 +K12/100 ), IF(AND(0 &lt; $B26, $B26 &lt; L$25), $B$7*K27/(1+K12/100) + $B$8*K26/(1+#REF!/100 ),"")))</f>
        <v/>
      </c>
      <c r="M26" s="27">
        <f>IF($B26=0,$B$8*L26/(1+#REF!/100), IF($B26=M$25, $B$7*L27/(1 +L12/100 ), IF(AND(0 &lt; $B26, $B26 &lt; M$25), $B$7*L27/(1+L12/100) + $B$8*L26/(1+#REF!/100 ),"")))</f>
        <v>6.4886684658426916E-4</v>
      </c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s="10"/>
      <c r="B27" s="10">
        <v>9</v>
      </c>
      <c r="C27" s="27"/>
      <c r="D27" s="27" t="str">
        <f t="shared" ref="D27:M27" si="1">IF($B27=0,$B$8*C27/(1+C12/100), IF($B27=D$25, $B$7*C28/(1 +C13/100 ), IF(AND(0 &lt; $B27, $B27 &lt; D$25), $B$7*C28/(1+C13/100) + $B$8*C27/(1+C12/100 ),"")))</f>
        <v/>
      </c>
      <c r="E27" s="27" t="str">
        <f t="shared" si="1"/>
        <v/>
      </c>
      <c r="F27" s="27" t="str">
        <f t="shared" si="1"/>
        <v/>
      </c>
      <c r="G27" s="27" t="str">
        <f t="shared" si="1"/>
        <v/>
      </c>
      <c r="H27" s="27" t="str">
        <f t="shared" si="1"/>
        <v/>
      </c>
      <c r="I27" s="27" t="str">
        <f t="shared" si="1"/>
        <v/>
      </c>
      <c r="J27" s="27" t="str">
        <f t="shared" si="1"/>
        <v/>
      </c>
      <c r="K27" s="27" t="str">
        <f t="shared" si="1"/>
        <v/>
      </c>
      <c r="L27" s="27">
        <f t="shared" si="1"/>
        <v>1.3650784467597473E-3</v>
      </c>
      <c r="M27" s="27">
        <f t="shared" si="1"/>
        <v>6.5518667564389158E-3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0"/>
      <c r="B28" s="10">
        <v>8</v>
      </c>
      <c r="C28" s="27"/>
      <c r="D28" s="27" t="str">
        <f t="shared" ref="D28:M28" si="2">IF($B28=0,$B$8*C28/(1+C13/100), IF($B28=D$25, $B$7*C29/(1 +C14/100 ), IF(AND(0 &lt; $B28, $B28 &lt; D$25), $B$7*C29/(1+C14/100) + $B$8*C28/(1+C13/100 ),"")))</f>
        <v/>
      </c>
      <c r="E28" s="27" t="str">
        <f t="shared" si="2"/>
        <v/>
      </c>
      <c r="F28" s="27" t="str">
        <f t="shared" si="2"/>
        <v/>
      </c>
      <c r="G28" s="27" t="str">
        <f t="shared" si="2"/>
        <v/>
      </c>
      <c r="H28" s="27" t="str">
        <f t="shared" si="2"/>
        <v/>
      </c>
      <c r="I28" s="27" t="str">
        <f t="shared" si="2"/>
        <v/>
      </c>
      <c r="J28" s="27" t="str">
        <f t="shared" si="2"/>
        <v/>
      </c>
      <c r="K28" s="27">
        <f t="shared" si="2"/>
        <v>2.8650137537127927E-3</v>
      </c>
      <c r="L28" s="27">
        <f t="shared" si="2"/>
        <v>1.2388781962516514E-2</v>
      </c>
      <c r="M28" s="27">
        <f t="shared" si="2"/>
        <v>2.9762115404873789E-2</v>
      </c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10"/>
      <c r="B29" s="10">
        <v>7</v>
      </c>
      <c r="C29" s="27"/>
      <c r="D29" s="27" t="str">
        <f t="shared" ref="D29:M29" si="3">IF($B29=0,$B$8*C29/(1+C14/100), IF($B29=D$25, $B$7*C30/(1 +C15/100 ), IF(AND(0 &lt; $B29, $B29 &lt; D$25), $B$7*C30/(1+C15/100) + $B$8*C29/(1+C14/100 ),"")))</f>
        <v/>
      </c>
      <c r="E29" s="27" t="str">
        <f t="shared" si="3"/>
        <v/>
      </c>
      <c r="F29" s="27" t="str">
        <f t="shared" si="3"/>
        <v/>
      </c>
      <c r="G29" s="27" t="str">
        <f t="shared" si="3"/>
        <v/>
      </c>
      <c r="H29" s="27" t="str">
        <f t="shared" si="3"/>
        <v/>
      </c>
      <c r="I29" s="27" t="str">
        <f t="shared" si="3"/>
        <v/>
      </c>
      <c r="J29" s="27">
        <f t="shared" si="3"/>
        <v>5.9992795684235692E-3</v>
      </c>
      <c r="K29" s="27">
        <f t="shared" si="3"/>
        <v>2.3083331841963504E-2</v>
      </c>
      <c r="L29" s="27">
        <f t="shared" si="3"/>
        <v>4.9958876097709763E-2</v>
      </c>
      <c r="M29" s="27">
        <f t="shared" si="3"/>
        <v>8.0093894808184185E-2</v>
      </c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10"/>
      <c r="B30" s="10">
        <v>6</v>
      </c>
      <c r="C30" s="27"/>
      <c r="D30" s="27" t="str">
        <f t="shared" ref="D30:M30" si="4">IF($B30=0,$B$8*C30/(1+C15/100), IF($B30=D$25, $B$7*C31/(1 +C16/100 ), IF(AND(0 &lt; $B30, $B30 &lt; D$25), $B$7*C31/(1+C16/100) + $B$8*C30/(1+C15/100 ),"")))</f>
        <v/>
      </c>
      <c r="E30" s="27" t="str">
        <f t="shared" si="4"/>
        <v/>
      </c>
      <c r="F30" s="27" t="str">
        <f t="shared" si="4"/>
        <v/>
      </c>
      <c r="G30" s="27" t="str">
        <f t="shared" si="4"/>
        <v/>
      </c>
      <c r="H30" s="27" t="str">
        <f t="shared" si="4"/>
        <v/>
      </c>
      <c r="I30" s="27">
        <f t="shared" si="4"/>
        <v>1.2534583039272294E-2</v>
      </c>
      <c r="J30" s="27">
        <f t="shared" si="4"/>
        <v>4.2244070918509527E-2</v>
      </c>
      <c r="K30" s="27">
        <f t="shared" si="4"/>
        <v>8.1350736591056641E-2</v>
      </c>
      <c r="L30" s="27">
        <f t="shared" si="4"/>
        <v>0.11749308869758127</v>
      </c>
      <c r="M30" s="27">
        <f t="shared" si="4"/>
        <v>0.14141281878499576</v>
      </c>
      <c r="N30" s="27"/>
      <c r="O30" s="27"/>
      <c r="P30" s="27"/>
      <c r="Q30" s="27"/>
      <c r="R30" s="10"/>
      <c r="S30" s="10"/>
      <c r="T30" s="10"/>
      <c r="U30" s="10"/>
      <c r="V30" s="10"/>
    </row>
    <row r="31" spans="1:22" x14ac:dyDescent="0.25">
      <c r="A31" s="10"/>
      <c r="B31" s="10">
        <v>5</v>
      </c>
      <c r="C31" s="27"/>
      <c r="D31" s="27" t="str">
        <f t="shared" ref="D31:M31" si="5">IF($B31=0,$B$8*C31/(1+C16/100), IF($B31=D$25, $B$7*C32/(1 +C17/100 ), IF(AND(0 &lt; $B31, $B31 &lt; D$25), $B$7*C32/(1+C17/100) + $B$8*C31/(1+C16/100 ),"")))</f>
        <v/>
      </c>
      <c r="E31" s="27" t="str">
        <f t="shared" si="5"/>
        <v/>
      </c>
      <c r="F31" s="27" t="str">
        <f t="shared" si="5"/>
        <v/>
      </c>
      <c r="G31" s="27" t="str">
        <f t="shared" si="5"/>
        <v/>
      </c>
      <c r="H31" s="27">
        <f t="shared" si="5"/>
        <v>2.6204470617408757E-2</v>
      </c>
      <c r="I31" s="27">
        <f t="shared" si="5"/>
        <v>7.5570045265213909E-2</v>
      </c>
      <c r="J31" s="27">
        <f t="shared" si="5"/>
        <v>0.12746329398796644</v>
      </c>
      <c r="K31" s="27">
        <f t="shared" si="5"/>
        <v>0.16379559773440758</v>
      </c>
      <c r="L31" s="27">
        <f t="shared" si="5"/>
        <v>0.17759405141274515</v>
      </c>
      <c r="M31" s="27">
        <f t="shared" si="5"/>
        <v>0.17116281664155336</v>
      </c>
      <c r="N31" s="27"/>
      <c r="O31" s="27"/>
      <c r="P31" s="27"/>
      <c r="Q31" s="27"/>
      <c r="R31" s="10"/>
      <c r="S31" s="10"/>
      <c r="T31" s="10"/>
      <c r="U31" s="10"/>
      <c r="V31" s="10"/>
    </row>
    <row r="32" spans="1:22" x14ac:dyDescent="0.25">
      <c r="A32" s="10"/>
      <c r="B32" s="10">
        <v>4</v>
      </c>
      <c r="C32" s="27"/>
      <c r="D32" s="27" t="str">
        <f t="shared" ref="D32:M32" si="6">IF($B32=0,$B$8*C32/(1+C17/100), IF($B32=D$25, $B$7*C33/(1 +C18/100 ), IF(AND(0 &lt; $B32, $B32 &lt; D$25), $B$7*C33/(1+C18/100) + $B$8*C32/(1+C17/100 ),"")))</f>
        <v/>
      </c>
      <c r="E32" s="27" t="str">
        <f t="shared" si="6"/>
        <v/>
      </c>
      <c r="F32" s="27" t="str">
        <f t="shared" si="6"/>
        <v/>
      </c>
      <c r="G32" s="27">
        <f t="shared" si="6"/>
        <v>5.4608222358079841E-2</v>
      </c>
      <c r="H32" s="27">
        <f t="shared" si="6"/>
        <v>0.13150183562988216</v>
      </c>
      <c r="I32" s="27">
        <f t="shared" si="6"/>
        <v>0.18981160658784363</v>
      </c>
      <c r="J32" s="27">
        <f t="shared" si="6"/>
        <v>0.2136306552504964</v>
      </c>
      <c r="K32" s="27">
        <f t="shared" si="6"/>
        <v>0.20608259717179866</v>
      </c>
      <c r="L32" s="27">
        <f t="shared" si="6"/>
        <v>0.17891973563180846</v>
      </c>
      <c r="M32" s="27">
        <f t="shared" si="6"/>
        <v>0.14383321497274507</v>
      </c>
      <c r="N32" s="27"/>
      <c r="O32" s="27"/>
      <c r="P32" s="27"/>
      <c r="Q32" s="27"/>
      <c r="R32" s="10"/>
      <c r="S32" s="10"/>
      <c r="T32" s="10"/>
      <c r="U32" s="10"/>
      <c r="V32" s="10"/>
    </row>
    <row r="33" spans="1:22" x14ac:dyDescent="0.25">
      <c r="A33" s="10"/>
      <c r="B33" s="10">
        <v>3</v>
      </c>
      <c r="C33" s="27"/>
      <c r="D33" s="27" t="str">
        <f t="shared" ref="D33:M33" si="7">IF($B33=0,$B$8*C33/(1+C18/100), IF($B33=D$25, $B$7*C34/(1 +C19/100 ), IF(AND(0 &lt; $B33, $B33 &lt; D$25), $B$7*C34/(1+C19/100) + $B$8*C33/(1+C18/100 ),"")))</f>
        <v/>
      </c>
      <c r="E33" s="27" t="str">
        <f t="shared" si="7"/>
        <v/>
      </c>
      <c r="F33" s="27">
        <f t="shared" si="7"/>
        <v>0.11345170684968477</v>
      </c>
      <c r="G33" s="27">
        <f t="shared" si="7"/>
        <v>0.21900109294476794</v>
      </c>
      <c r="H33" s="27">
        <f t="shared" si="7"/>
        <v>0.26394216972813495</v>
      </c>
      <c r="I33" s="27">
        <f t="shared" si="7"/>
        <v>0.25423811500131044</v>
      </c>
      <c r="J33" s="27">
        <f t="shared" si="7"/>
        <v>0.21479631518712</v>
      </c>
      <c r="K33" s="27">
        <f t="shared" si="7"/>
        <v>0.16591329814914138</v>
      </c>
      <c r="L33" s="27">
        <f t="shared" si="7"/>
        <v>0.12014473934629868</v>
      </c>
      <c r="M33" s="27">
        <f t="shared" si="7"/>
        <v>8.2860427610649226E-2</v>
      </c>
      <c r="N33" s="27"/>
      <c r="O33" s="27"/>
      <c r="P33" s="27"/>
      <c r="Q33" s="27"/>
      <c r="R33" s="10"/>
      <c r="S33" s="10"/>
      <c r="T33" s="10"/>
      <c r="U33" s="10"/>
      <c r="V33" s="10"/>
    </row>
    <row r="34" spans="1:22" x14ac:dyDescent="0.25">
      <c r="A34" s="10"/>
      <c r="B34" s="10">
        <v>2</v>
      </c>
      <c r="C34" s="27"/>
      <c r="D34" s="27" t="str">
        <f t="shared" ref="D34:M34" si="8">IF($B34=0,$B$8*C34/(1+C19/100), IF($B34=D$25, $B$7*C35/(1 +C20/100 ), IF(AND(0 &lt; $B34, $B34 &lt; D$25), $B$7*C35/(1+C20/100) + $B$8*C34/(1+C19/100 ),"")))</f>
        <v/>
      </c>
      <c r="E34" s="27">
        <f t="shared" si="8"/>
        <v>0.23500978926640684</v>
      </c>
      <c r="F34" s="27">
        <f t="shared" si="8"/>
        <v>0.34091377811039275</v>
      </c>
      <c r="G34" s="27">
        <f t="shared" si="8"/>
        <v>0.32933724334583259</v>
      </c>
      <c r="H34" s="27">
        <f t="shared" si="8"/>
        <v>0.26486056715928941</v>
      </c>
      <c r="I34" s="27">
        <f t="shared" si="8"/>
        <v>0.19152641070608417</v>
      </c>
      <c r="J34" s="27">
        <f t="shared" si="8"/>
        <v>0.12956176078633083</v>
      </c>
      <c r="K34" s="27">
        <f t="shared" si="8"/>
        <v>8.3468823490576494E-2</v>
      </c>
      <c r="L34" s="27">
        <f t="shared" si="8"/>
        <v>5.1853315096203056E-2</v>
      </c>
      <c r="M34" s="27">
        <f t="shared" si="8"/>
        <v>3.1318632406954219E-2</v>
      </c>
      <c r="N34" s="27"/>
      <c r="O34" s="27"/>
      <c r="P34" s="27"/>
      <c r="Q34" s="27"/>
      <c r="R34" s="10"/>
      <c r="S34" s="10"/>
      <c r="T34" s="10"/>
      <c r="U34" s="10"/>
      <c r="V34" s="10"/>
    </row>
    <row r="35" spans="1:22" x14ac:dyDescent="0.25">
      <c r="A35" s="10"/>
      <c r="B35" s="10">
        <v>1</v>
      </c>
      <c r="C35" s="27"/>
      <c r="D35" s="27">
        <f t="shared" ref="D35:M35" si="9">IF($B35=0,$B$8*C35/(1+C20/100), IF($B35=D$25, $B$7*C36/(1 +C21/100 ), IF(AND(0 &lt; $B35, $B35 &lt; D$25), $B$7*C36/(1+C21/100) + $B$8*C35/(1+C20/100 ),"")))</f>
        <v>0.4854369066606754</v>
      </c>
      <c r="E35" s="27">
        <f t="shared" si="9"/>
        <v>0.47038415898090469</v>
      </c>
      <c r="F35" s="27">
        <f t="shared" si="9"/>
        <v>0.3414639937047555</v>
      </c>
      <c r="G35" s="27">
        <f t="shared" si="9"/>
        <v>0.22010425910838233</v>
      </c>
      <c r="H35" s="27">
        <f t="shared" si="9"/>
        <v>0.13287961310815807</v>
      </c>
      <c r="I35" s="27">
        <f t="shared" si="9"/>
        <v>7.6942174597629434E-2</v>
      </c>
      <c r="J35" s="27">
        <f t="shared" si="9"/>
        <v>4.3410195609926955E-2</v>
      </c>
      <c r="K35" s="27">
        <f t="shared" si="9"/>
        <v>2.399135923107007E-2</v>
      </c>
      <c r="L35" s="27">
        <f t="shared" si="9"/>
        <v>1.3052046797828495E-2</v>
      </c>
      <c r="M35" s="27">
        <f t="shared" si="9"/>
        <v>7.0131986147427662E-3</v>
      </c>
      <c r="N35" s="27"/>
      <c r="O35" s="27"/>
      <c r="P35" s="27"/>
      <c r="Q35" s="27"/>
      <c r="R35" s="10"/>
      <c r="S35" s="10"/>
      <c r="T35" s="10"/>
      <c r="U35" s="10"/>
      <c r="V35" s="10"/>
    </row>
    <row r="36" spans="1:22" x14ac:dyDescent="0.25">
      <c r="A36" s="10"/>
      <c r="B36" s="10">
        <v>0</v>
      </c>
      <c r="C36" s="27">
        <v>1</v>
      </c>
      <c r="D36" s="28">
        <f>IF($B36=0,$B$8*C36/(1+C21/100), IF($B36=D$25, $B$7*#REF!/(1 +#REF!/100 ), IF(AND(0 &lt; $B36, $B36 &lt; D$25), $B$7*#REF!/(1+#REF!/100) + $B$8*C36/(1+C21/100 ),"")))</f>
        <v>0.4854369066606754</v>
      </c>
      <c r="E36" s="27">
        <f>IF($B36=0,$B$8*D36/(1+D21/100), IF($B36=E$25, $B$7*#REF!/(1 +#REF!/100 ), IF(AND(0 &lt; $B36, $B36 &lt; E$25), $B$7*#REF!/(1+#REF!/100) + $B$8*D36/(1+D21/100 ),"")))</f>
        <v>0.23537436971449788</v>
      </c>
      <c r="F36" s="27">
        <f>IF($B36=0,$B$8*E36/(1+E21/100), IF($B36=F$25, $B$7*#REF!/(1 +#REF!/100 ), IF(AND(0 &lt; $B36, $B36 &lt; F$25), $B$7*#REF!/(1+#REF!/100) + $B$8*E36/(1+E21/100 ),"")))</f>
        <v>0.1140019224440475</v>
      </c>
      <c r="G36" s="27">
        <f>IF($B36=0,$B$8*F36/(1+F21/100), IF($B36=G$25, $B$7*#REF!/(1 +#REF!/100 ), IF(AND(0 &lt; $B36, $B36 &lt; G$25), $B$7*#REF!/(1+#REF!/100) + $B$8*F36/(1+F21/100 ),"")))</f>
        <v>5.5159886349237811E-2</v>
      </c>
      <c r="H36" s="27">
        <f>IF($B36=0,$B$8*G36/(1+G21/100), IF($B36=H$25, $B$7*#REF!/(1 +#REF!/100 ), IF(AND(0 &lt; $B36, $B36 &lt; H$25), $B$7*#REF!/(1+#REF!/100) + $B$8*G36/(1+G21/100 ),"")))</f>
        <v>2.6663850664530208E-2</v>
      </c>
      <c r="I36" s="27">
        <f>IF($B36=0,$B$8*H36/(1+H21/100), IF($B36=I$25, $B$7*#REF!/(1 +#REF!/100 ), IF(AND(0 &lt; $B36, $B36 &lt; I$25), $B$7*#REF!/(1+#REF!/100) + $B$8*H36/(1+H21/100 ),"")))</f>
        <v>1.2877734530953661E-2</v>
      </c>
      <c r="J36" s="27">
        <f>IF($B36=0,$B$8*I36/(1+I21/100), IF($B36=J$25, $B$7*#REF!/(1 +#REF!/100 ), IF(AND(0 &lt; $B36, $B36 &lt; J$25), $B$7*#REF!/(1+#REF!/100) + $B$8*I36/(1+I21/100 ),"")))</f>
        <v>6.2325973981001929E-3</v>
      </c>
      <c r="K36" s="27">
        <f>IF($B36=0,$B$8*J36/(1+J21/100), IF($B36=K$25, $B$7*#REF!/(1 +#REF!/100 ), IF(AND(0 &lt; $B36, $B36 &lt; K$25), $B$7*#REF!/(1+#REF!/100) + $B$8*J36/(1+J21/100 ),"")))</f>
        <v>3.016415949437946E-3</v>
      </c>
      <c r="L36" s="27">
        <f>IF($B36=0,$B$8*K36/(1+K21/100), IF($B36=L$25, $B$7*#REF!/(1 +#REF!/100 ), IF(AND(0 &lt; $B36, $B36 &lt; L$25), $B$7*#REF!/(1+#REF!/100) + $B$8*K36/(1+K21/100 ),"")))</f>
        <v>1.4598707132325323E-3</v>
      </c>
      <c r="M36" s="27">
        <f>IF($B36=0,$B$8*L36/(1+L21/100), IF($B36=M$25, $B$7*#REF!/(1 +#REF!/100 ), IF(AND(0 &lt; $B36, $B36 &lt; M$25), $B$7*#REF!/(1+#REF!/100) + $B$8*L36/(1+L21/100 ),"")))</f>
        <v>7.0655601541535812E-4</v>
      </c>
      <c r="N36" s="27"/>
      <c r="O36" s="27"/>
      <c r="P36" s="27"/>
      <c r="Q36" s="27"/>
      <c r="R36" s="10"/>
      <c r="S36" s="10"/>
      <c r="T36" s="10"/>
      <c r="U36" s="10"/>
      <c r="V36" s="10"/>
    </row>
    <row r="37" spans="1:22" ht="15.75" thickBot="1" x14ac:dyDescent="0.3">
      <c r="N37" s="27"/>
      <c r="O37" s="27"/>
      <c r="P37" s="27"/>
      <c r="Q37" s="27"/>
      <c r="R37" s="10"/>
      <c r="S37" s="10"/>
      <c r="T37" s="10"/>
      <c r="U37" s="10"/>
      <c r="V37" s="10"/>
    </row>
    <row r="38" spans="1:22" ht="15.75" thickBot="1" x14ac:dyDescent="0.3">
      <c r="A38" s="69" t="s">
        <v>29</v>
      </c>
      <c r="B38" s="70"/>
      <c r="C38" s="71"/>
      <c r="D38" s="29">
        <f>SUM(D35:D36)</f>
        <v>0.97087381332135081</v>
      </c>
      <c r="E38" s="30">
        <f>SUM(E34:E36)</f>
        <v>0.94076831796180937</v>
      </c>
      <c r="F38" s="30">
        <f>SUM(F33:F36)</f>
        <v>0.9098314011088805</v>
      </c>
      <c r="G38" s="30">
        <f>SUM(G32:G36)</f>
        <v>0.87821070410630064</v>
      </c>
      <c r="H38" s="30">
        <f>SUM(H31:H36)</f>
        <v>0.84605250690740363</v>
      </c>
      <c r="I38" s="30">
        <f>SUM(I30:I36)</f>
        <v>0.81350066972830748</v>
      </c>
      <c r="J38" s="30">
        <f>SUM(J29:J36)</f>
        <v>0.78333816870687401</v>
      </c>
      <c r="K38" s="30">
        <f>SUM(K28:K36)</f>
        <v>0.75356717391316508</v>
      </c>
      <c r="L38" s="30">
        <f>SUM(L27:L36)</f>
        <v>0.72422958420268357</v>
      </c>
      <c r="M38" s="30">
        <f>SUM(M26:M36)</f>
        <v>0.695364408863137</v>
      </c>
      <c r="N38" s="30"/>
      <c r="O38" s="30"/>
      <c r="P38" s="30"/>
      <c r="Q38" s="31"/>
      <c r="R38" s="10"/>
      <c r="S38" s="10"/>
      <c r="T38" s="10"/>
      <c r="U38" s="10"/>
      <c r="V38" s="10"/>
    </row>
    <row r="39" spans="1:22" ht="15.75" thickBot="1" x14ac:dyDescent="0.3">
      <c r="A39" s="69" t="s">
        <v>30</v>
      </c>
      <c r="B39" s="70"/>
      <c r="C39" s="71"/>
      <c r="D39" s="32">
        <f>100*((1/D38)^(1/D25)-1)</f>
        <v>2.9999971447379759</v>
      </c>
      <c r="E39" s="33">
        <f t="shared" ref="D39:M39" si="10">100*((1/E38)^(1/E25)-1)</f>
        <v>3.099998348904931</v>
      </c>
      <c r="F39" s="33">
        <f t="shared" si="10"/>
        <v>3.1999989323997724</v>
      </c>
      <c r="G39" s="33">
        <f t="shared" si="10"/>
        <v>3.2999992689001223</v>
      </c>
      <c r="H39" s="33">
        <f t="shared" si="10"/>
        <v>3.3999995030245422</v>
      </c>
      <c r="I39" s="33">
        <f t="shared" si="10"/>
        <v>3.4999994609659302</v>
      </c>
      <c r="J39" s="33">
        <f t="shared" si="10"/>
        <v>3.549999626322009</v>
      </c>
      <c r="K39" s="33">
        <f t="shared" si="10"/>
        <v>3.5999995467862478</v>
      </c>
      <c r="L39" s="33">
        <f t="shared" si="10"/>
        <v>3.6499994882922104</v>
      </c>
      <c r="M39" s="33">
        <f t="shared" si="10"/>
        <v>3.6999994717163309</v>
      </c>
      <c r="N39" s="33"/>
      <c r="O39" s="33"/>
      <c r="P39" s="33"/>
      <c r="Q39" s="34"/>
      <c r="R39" s="10"/>
      <c r="S39" s="10"/>
      <c r="T39" s="10"/>
      <c r="U39" s="10"/>
      <c r="V39" s="10"/>
    </row>
    <row r="40" spans="1:22" ht="15.75" thickBo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5.75" thickBot="1" x14ac:dyDescent="0.3">
      <c r="A41" s="69" t="s">
        <v>31</v>
      </c>
      <c r="B41" s="70"/>
      <c r="C41" s="71"/>
      <c r="D41" s="35">
        <f>(D39-C4)^2</f>
        <v>8.1525212265441923E-12</v>
      </c>
      <c r="E41" s="36">
        <f t="shared" ref="D41:M41" si="11">(E39-D4)^2</f>
        <v>2.726114927241512E-12</v>
      </c>
      <c r="F41" s="36">
        <f t="shared" si="11"/>
        <v>1.1397702463508516E-12</v>
      </c>
      <c r="G41" s="36">
        <f t="shared" si="11"/>
        <v>5.3450703091960073E-13</v>
      </c>
      <c r="H41" s="36">
        <f t="shared" si="11"/>
        <v>2.4698460553184694E-13</v>
      </c>
      <c r="I41" s="36">
        <f t="shared" si="11"/>
        <v>2.905577284311761E-13</v>
      </c>
      <c r="J41" s="36">
        <f t="shared" si="11"/>
        <v>1.3963524078784119E-13</v>
      </c>
      <c r="K41" s="36">
        <f t="shared" si="11"/>
        <v>2.0540270527838147E-13</v>
      </c>
      <c r="L41" s="36">
        <f t="shared" si="11"/>
        <v>2.6184486180889323E-13</v>
      </c>
      <c r="M41" s="36">
        <f t="shared" si="11"/>
        <v>2.7908363520088429E-13</v>
      </c>
      <c r="N41" s="36"/>
      <c r="O41" s="36"/>
      <c r="P41" s="36"/>
      <c r="Q41" s="37"/>
      <c r="R41" s="10"/>
      <c r="S41" s="10"/>
      <c r="T41" s="10"/>
      <c r="U41" s="10"/>
      <c r="V41" s="10"/>
    </row>
    <row r="42" spans="1:22" ht="15.75" thickBot="1" x14ac:dyDescent="0.3">
      <c r="A42" s="69" t="s">
        <v>32</v>
      </c>
      <c r="B42" s="70"/>
      <c r="C42" s="71"/>
      <c r="D42" s="38">
        <f>SUM(D41:Q41)</f>
        <v>1.3976422208095176E-11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10"/>
      <c r="N43" s="27"/>
      <c r="O43" s="27"/>
      <c r="P43" s="27"/>
      <c r="Q43" s="27"/>
      <c r="R43" s="10"/>
      <c r="S43" s="10"/>
      <c r="T43" s="10"/>
      <c r="U43" s="10"/>
      <c r="V43" s="10"/>
    </row>
    <row r="44" spans="1:22" ht="15.75" thickBot="1" x14ac:dyDescent="0.3">
      <c r="A44" s="10"/>
      <c r="N44" s="27"/>
      <c r="O44" s="27"/>
      <c r="P44" s="27"/>
      <c r="Q44" s="27"/>
      <c r="R44" s="10"/>
      <c r="S44" s="10"/>
      <c r="T44" s="10"/>
      <c r="U44" s="10"/>
      <c r="V44" s="10"/>
    </row>
    <row r="45" spans="1:22" ht="15.75" thickBot="1" x14ac:dyDescent="0.3">
      <c r="A45" s="43"/>
      <c r="B45" s="36"/>
      <c r="C45" s="3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10"/>
      <c r="R45" s="10"/>
      <c r="S45" s="10"/>
      <c r="T45" s="10"/>
      <c r="U45" s="10"/>
      <c r="V45" s="10"/>
    </row>
    <row r="46" spans="1:22" x14ac:dyDescent="0.25">
      <c r="A46" s="45" t="s">
        <v>33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24"/>
      <c r="N46" s="24"/>
      <c r="O46" s="24"/>
      <c r="P46" s="24"/>
      <c r="Q46" s="10"/>
      <c r="R46" s="10"/>
      <c r="S46" s="10"/>
      <c r="T46" s="10"/>
      <c r="U46" s="10"/>
      <c r="V46" s="10"/>
    </row>
    <row r="47" spans="1:22" x14ac:dyDescent="0.25">
      <c r="B47" s="10"/>
      <c r="C47" s="10">
        <f>0</f>
        <v>0</v>
      </c>
      <c r="D47" s="10">
        <f t="shared" ref="D47:L47" si="12">C47+1</f>
        <v>1</v>
      </c>
      <c r="E47" s="10">
        <f t="shared" si="12"/>
        <v>2</v>
      </c>
      <c r="F47" s="10">
        <f t="shared" si="12"/>
        <v>3</v>
      </c>
      <c r="G47" s="10">
        <f t="shared" si="12"/>
        <v>4</v>
      </c>
      <c r="H47" s="10">
        <f t="shared" si="12"/>
        <v>5</v>
      </c>
      <c r="I47" s="10">
        <f t="shared" si="12"/>
        <v>6</v>
      </c>
      <c r="J47" s="10">
        <f t="shared" si="12"/>
        <v>7</v>
      </c>
      <c r="K47" s="10">
        <f t="shared" si="12"/>
        <v>8</v>
      </c>
      <c r="L47" s="10">
        <f t="shared" si="12"/>
        <v>9</v>
      </c>
      <c r="M47" s="10"/>
      <c r="N47" s="25"/>
      <c r="O47" s="25"/>
      <c r="P47" s="25"/>
      <c r="Q47" s="10"/>
      <c r="R47" s="10"/>
      <c r="S47" s="10"/>
      <c r="T47" s="10"/>
      <c r="U47" s="10"/>
      <c r="V47" s="10"/>
    </row>
    <row r="48" spans="1:22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5"/>
      <c r="O48" s="25"/>
      <c r="P48" s="25"/>
      <c r="Q48" s="10"/>
      <c r="R48" s="10"/>
      <c r="S48" s="10"/>
      <c r="T48" s="10"/>
      <c r="U48" s="10"/>
      <c r="V48" s="10"/>
    </row>
    <row r="49" spans="1:22" x14ac:dyDescent="0.25">
      <c r="B49" s="10">
        <f>9</f>
        <v>9</v>
      </c>
      <c r="C49" s="10"/>
      <c r="D49" s="10"/>
      <c r="E49" s="10"/>
      <c r="F49" s="10"/>
      <c r="G49" s="10"/>
      <c r="H49" s="10"/>
      <c r="I49" s="10"/>
      <c r="J49" s="10"/>
      <c r="K49" s="10"/>
      <c r="L49" s="10">
        <f>(L12/100 - $B$9) /(1 + L12/100)</f>
        <v>1.2258005829155847E-2</v>
      </c>
      <c r="M49" s="10"/>
      <c r="N49" s="25"/>
      <c r="O49" s="25"/>
      <c r="P49" s="25"/>
      <c r="Q49" s="10"/>
      <c r="R49" s="10"/>
      <c r="S49" s="10"/>
      <c r="T49" s="10"/>
      <c r="U49" s="10"/>
      <c r="V49" s="10"/>
    </row>
    <row r="50" spans="1:22" x14ac:dyDescent="0.25">
      <c r="B50" s="10">
        <f t="shared" ref="B50:B58" si="13">B49-1</f>
        <v>8</v>
      </c>
      <c r="C50" s="10"/>
      <c r="D50" s="10"/>
      <c r="E50" s="10"/>
      <c r="F50" s="10"/>
      <c r="G50" s="10"/>
      <c r="H50" s="10"/>
      <c r="I50" s="10"/>
      <c r="J50" s="10"/>
      <c r="K50" s="10">
        <f>(1 /(1+K13/100)) * ((K13-$B$9) + $B$7*L49 + $B$8*L50)</f>
        <v>4.6804048169285419</v>
      </c>
      <c r="L50" s="10">
        <f t="shared" ref="L50:L58" si="14">(L13/100 - $B$9) /(1 + L13/100)</f>
        <v>9.875720648626584E-3</v>
      </c>
      <c r="M50" s="10"/>
      <c r="N50" s="25"/>
      <c r="O50" s="25"/>
      <c r="P50" s="25"/>
      <c r="Q50" s="10"/>
      <c r="R50" s="10"/>
      <c r="S50" s="10"/>
      <c r="T50" s="10"/>
      <c r="U50" s="10"/>
      <c r="V50" s="10"/>
    </row>
    <row r="51" spans="1:22" x14ac:dyDescent="0.25">
      <c r="B51" s="10">
        <f t="shared" si="13"/>
        <v>7</v>
      </c>
      <c r="C51" s="10"/>
      <c r="D51" s="10"/>
      <c r="E51" s="10"/>
      <c r="F51" s="10"/>
      <c r="G51" s="10"/>
      <c r="H51" s="10"/>
      <c r="I51" s="10"/>
      <c r="J51" s="10">
        <f t="shared" ref="J51:K51" si="15">(1 /(1+J14/100)) * ((J14-$B$9) + $B$7*K50 + $B$8*K51)</f>
        <v>8.8153659467768222</v>
      </c>
      <c r="K51" s="10">
        <f t="shared" si="15"/>
        <v>4.4588566444637685</v>
      </c>
      <c r="L51" s="10">
        <f t="shared" si="14"/>
        <v>7.5989319358884836E-3</v>
      </c>
      <c r="M51" s="10"/>
      <c r="N51" s="25"/>
      <c r="O51" s="25"/>
      <c r="P51" s="25"/>
      <c r="Q51" s="10"/>
      <c r="R51" s="10"/>
      <c r="S51" s="10"/>
      <c r="T51" s="10"/>
      <c r="U51" s="10"/>
      <c r="V51" s="10"/>
    </row>
    <row r="52" spans="1:22" x14ac:dyDescent="0.25">
      <c r="B52" s="10">
        <f t="shared" si="13"/>
        <v>6</v>
      </c>
      <c r="C52" s="10"/>
      <c r="D52" s="10"/>
      <c r="E52" s="10"/>
      <c r="F52" s="10"/>
      <c r="G52" s="10"/>
      <c r="H52" s="10"/>
      <c r="I52" s="10">
        <f t="shared" ref="I52:K52" si="16">(1 /(1+I15/100)) * ((I15-$B$9) + $B$7*J51 + $B$8*J52)</f>
        <v>12.482435400241412</v>
      </c>
      <c r="J52" s="10">
        <f t="shared" si="16"/>
        <v>8.4079815305355492</v>
      </c>
      <c r="K52" s="10">
        <f t="shared" si="16"/>
        <v>4.2471554926103039</v>
      </c>
      <c r="L52" s="10">
        <f t="shared" si="14"/>
        <v>5.4234448331209155E-3</v>
      </c>
      <c r="M52" s="10"/>
      <c r="N52" s="25"/>
      <c r="O52" s="25"/>
      <c r="P52" s="25"/>
      <c r="Q52" s="10"/>
      <c r="R52" s="10"/>
      <c r="S52" s="10"/>
      <c r="T52" s="10"/>
      <c r="U52" s="10"/>
      <c r="V52" s="10"/>
    </row>
    <row r="53" spans="1:22" x14ac:dyDescent="0.25">
      <c r="B53" s="10">
        <f t="shared" si="13"/>
        <v>5</v>
      </c>
      <c r="C53" s="10"/>
      <c r="D53" s="10"/>
      <c r="E53" s="10"/>
      <c r="F53" s="10"/>
      <c r="G53" s="10"/>
      <c r="H53" s="10">
        <f t="shared" ref="H53:K53" si="17">(1 /(1+H16/100)) * ((H16-$B$9) + $B$7*I52 + $B$8*I53)</f>
        <v>15.966369178250767</v>
      </c>
      <c r="I53" s="10">
        <f t="shared" si="17"/>
        <v>11.917059551492956</v>
      </c>
      <c r="J53" s="10">
        <f t="shared" si="17"/>
        <v>8.0179253316450048</v>
      </c>
      <c r="K53" s="10">
        <f t="shared" si="17"/>
        <v>4.0449065023772697</v>
      </c>
      <c r="L53" s="10">
        <f t="shared" si="14"/>
        <v>3.3451874404293817E-3</v>
      </c>
      <c r="M53" s="10"/>
      <c r="N53" s="25"/>
      <c r="O53" s="25"/>
      <c r="P53" s="25"/>
      <c r="Q53" s="10"/>
      <c r="R53" s="10"/>
      <c r="S53" s="10"/>
      <c r="T53" s="10"/>
      <c r="U53" s="10"/>
      <c r="V53" s="10"/>
    </row>
    <row r="54" spans="1:22" x14ac:dyDescent="0.25">
      <c r="B54" s="10">
        <f t="shared" si="13"/>
        <v>4</v>
      </c>
      <c r="C54" s="10"/>
      <c r="D54" s="10"/>
      <c r="E54" s="10"/>
      <c r="F54" s="10"/>
      <c r="G54" s="10">
        <f t="shared" ref="G54:K54" si="18">(1 /(1+G17/100)) * ((G17-$B$9) + $B$7*H53 + $B$8*H54)</f>
        <v>18.973110418896486</v>
      </c>
      <c r="H54" s="10">
        <f t="shared" si="18"/>
        <v>15.257450638886015</v>
      </c>
      <c r="I54" s="10">
        <f t="shared" si="18"/>
        <v>11.374725143239313</v>
      </c>
      <c r="J54" s="10">
        <f t="shared" si="18"/>
        <v>7.6445743215512145</v>
      </c>
      <c r="K54" s="10">
        <f t="shared" si="18"/>
        <v>3.851726708698203</v>
      </c>
      <c r="L54" s="10">
        <f t="shared" si="14"/>
        <v>1.3602114504886538E-3</v>
      </c>
      <c r="M54" s="10"/>
      <c r="N54" s="25"/>
      <c r="O54" s="25"/>
      <c r="P54" s="25"/>
      <c r="Q54" s="10"/>
      <c r="R54" s="10"/>
      <c r="S54" s="10"/>
      <c r="T54" s="10"/>
      <c r="U54" s="10"/>
      <c r="V54" s="10"/>
    </row>
    <row r="55" spans="1:22" x14ac:dyDescent="0.25">
      <c r="B55" s="10">
        <f t="shared" si="13"/>
        <v>3</v>
      </c>
      <c r="C55" s="10"/>
      <c r="D55" s="10"/>
      <c r="E55" s="10"/>
      <c r="F55" s="10">
        <f t="shared" ref="F55:K55" si="19">(1 /(1+F18/100)) * ((F18-$B$9) + $B$7*G54 + $B$8*G55)</f>
        <v>21.561885021097122</v>
      </c>
      <c r="G55" s="10">
        <f t="shared" si="19"/>
        <v>18.145217169945653</v>
      </c>
      <c r="H55" s="10">
        <f t="shared" si="19"/>
        <v>14.57614770476674</v>
      </c>
      <c r="I55" s="10">
        <f t="shared" si="19"/>
        <v>10.854697470025917</v>
      </c>
      <c r="J55" s="10">
        <f t="shared" si="19"/>
        <v>7.2873172837633264</v>
      </c>
      <c r="K55" s="10">
        <f t="shared" si="19"/>
        <v>3.6672450624267436</v>
      </c>
      <c r="L55" s="10">
        <f t="shared" si="14"/>
        <v>-5.3530773575114832E-4</v>
      </c>
      <c r="M55" s="10"/>
      <c r="N55" s="25"/>
      <c r="O55" s="25"/>
      <c r="P55" s="25"/>
      <c r="Q55" s="10"/>
      <c r="R55" s="10"/>
      <c r="S55" s="10"/>
      <c r="T55" s="10"/>
      <c r="U55" s="10"/>
      <c r="V55" s="10"/>
    </row>
    <row r="56" spans="1:22" x14ac:dyDescent="0.25">
      <c r="B56" s="10">
        <f t="shared" si="13"/>
        <v>2</v>
      </c>
      <c r="C56" s="10"/>
      <c r="D56" s="10"/>
      <c r="E56" s="10">
        <f t="shared" ref="E56:K56" si="20">(1 /(1+E19/100)) * ((E19-$B$9) + $B$7*F55 + $B$8*F56)</f>
        <v>23.782539409951418</v>
      </c>
      <c r="F56" s="10">
        <f t="shared" si="20"/>
        <v>20.635287540846999</v>
      </c>
      <c r="G56" s="10">
        <f t="shared" si="20"/>
        <v>17.348248984182415</v>
      </c>
      <c r="H56" s="10">
        <f t="shared" si="20"/>
        <v>13.921699474960846</v>
      </c>
      <c r="I56" s="10">
        <f t="shared" si="20"/>
        <v>10.35624608325093</v>
      </c>
      <c r="J56" s="10">
        <f t="shared" si="20"/>
        <v>6.9455556789243733</v>
      </c>
      <c r="K56" s="10">
        <f t="shared" si="20"/>
        <v>3.491102406434754</v>
      </c>
      <c r="L56" s="10">
        <f t="shared" si="14"/>
        <v>-2.3450713579230564E-3</v>
      </c>
      <c r="M56" s="10"/>
      <c r="N56" s="25"/>
      <c r="O56" s="25"/>
      <c r="P56" s="25"/>
      <c r="Q56" s="10"/>
      <c r="R56" s="10"/>
      <c r="S56" s="10"/>
      <c r="T56" s="10"/>
      <c r="U56" s="10"/>
      <c r="V56" s="10"/>
    </row>
    <row r="57" spans="1:22" x14ac:dyDescent="0.25">
      <c r="B57" s="10">
        <f t="shared" si="13"/>
        <v>1</v>
      </c>
      <c r="C57" s="10"/>
      <c r="D57" s="10">
        <f t="shared" ref="D57" si="21">(1 /(1+D20/100)) * ((D20-$B$9) + $B$7*E56 + $B$8*E57)</f>
        <v>25.677196720588086</v>
      </c>
      <c r="E57" s="10">
        <f t="shared" ref="E57:K57" si="22">(1 /(1+E20/100)) * ((E20-$B$9) + $B$7*F56 + $B$8*F57)</f>
        <v>22.7740612009854</v>
      </c>
      <c r="F57" s="10">
        <f t="shared" si="22"/>
        <v>19.741984895435163</v>
      </c>
      <c r="G57" s="10">
        <f t="shared" si="22"/>
        <v>16.581479898748196</v>
      </c>
      <c r="H57" s="10">
        <f t="shared" si="22"/>
        <v>13.293336117582394</v>
      </c>
      <c r="I57" s="10">
        <f t="shared" si="22"/>
        <v>9.8786469044412204</v>
      </c>
      <c r="J57" s="10">
        <f t="shared" si="22"/>
        <v>6.6187043708912974</v>
      </c>
      <c r="K57" s="10">
        <f t="shared" si="22"/>
        <v>3.3229514107942117</v>
      </c>
      <c r="L57" s="10">
        <f t="shared" si="14"/>
        <v>-4.0726580587118408E-3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x14ac:dyDescent="0.25">
      <c r="B58" s="10">
        <f t="shared" si="13"/>
        <v>0</v>
      </c>
      <c r="C58" s="10">
        <f>(1 /(1+C21/100)) * ((C21-$B$9) + $B$7*D57 + $B$8*D58)</f>
        <v>27.281593021867195</v>
      </c>
      <c r="D58" s="10">
        <f t="shared" ref="D58" si="23">(1 /(1+D21/100)) * ((D21-$B$9) + $B$7*E57 + $B$8*E58)</f>
        <v>24.600889057060467</v>
      </c>
      <c r="E58" s="10">
        <f t="shared" ref="E58:K58" si="24">(1 /(1+E21/100)) * ((E21-$B$9) + $B$7*F57 + $B$8*F58)</f>
        <v>21.800554018835701</v>
      </c>
      <c r="F58" s="10">
        <f t="shared" si="24"/>
        <v>18.881322804325226</v>
      </c>
      <c r="G58" s="10">
        <f t="shared" si="24"/>
        <v>15.844159690744517</v>
      </c>
      <c r="H58" s="10">
        <f t="shared" si="24"/>
        <v>12.690282486176526</v>
      </c>
      <c r="I58" s="10">
        <f t="shared" si="24"/>
        <v>9.4211840973424543</v>
      </c>
      <c r="J58" s="10">
        <f t="shared" si="24"/>
        <v>6.3061922250443914</v>
      </c>
      <c r="K58" s="10">
        <f t="shared" si="24"/>
        <v>3.162456471697118</v>
      </c>
      <c r="L58" s="10">
        <f t="shared" si="14"/>
        <v>-5.7215250123668704E-3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x14ac:dyDescent="0.25">
      <c r="A59" s="39"/>
      <c r="B59" s="40"/>
      <c r="C59" s="41"/>
      <c r="D59" s="3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x14ac:dyDescent="0.25">
      <c r="A60" s="47" t="s">
        <v>35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x14ac:dyDescent="0.25">
      <c r="B61" s="10"/>
      <c r="C61" s="48">
        <v>0</v>
      </c>
      <c r="D61" s="48">
        <v>1</v>
      </c>
      <c r="E61" s="48">
        <v>2</v>
      </c>
      <c r="F61" s="48">
        <v>3</v>
      </c>
      <c r="G61" s="4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x14ac:dyDescent="0.25">
      <c r="B63" s="4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x14ac:dyDescent="0.25">
      <c r="B64" s="48">
        <v>3</v>
      </c>
      <c r="C64" s="10"/>
      <c r="D64" s="10"/>
      <c r="E64" s="10"/>
      <c r="F64" s="10">
        <f>MAX(F55,0)</f>
        <v>21.561885021097122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x14ac:dyDescent="0.25">
      <c r="B65" s="48">
        <v>2</v>
      </c>
      <c r="C65" s="10"/>
      <c r="D65" s="10"/>
      <c r="E65" s="10">
        <f>(1/(1+E19/100)) * ($B$7*F64 + $B$8*F65)</f>
        <v>20.370816323554596</v>
      </c>
      <c r="F65" s="10">
        <f t="shared" ref="F65:F67" si="25">MAX(F56,0)</f>
        <v>20.635287540846999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25">
      <c r="B66" s="48">
        <v>1</v>
      </c>
      <c r="C66" s="10"/>
      <c r="D66" s="10">
        <f>(1/(1+D20/100)) * ($B$7*E65 + $B$8*E66)</f>
        <v>19.314417379235838</v>
      </c>
      <c r="E66" s="10">
        <f>(1/(1+E20/100)) * ($B$7*F65 + $B$8*F66)</f>
        <v>19.525100590361234</v>
      </c>
      <c r="F66" s="10">
        <f t="shared" si="25"/>
        <v>19.741984895435163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B67" s="48">
        <v>0</v>
      </c>
      <c r="C67" s="10">
        <f>(1/(1+C21/100)) * ($B$7*D66 + $B$8*D67)</f>
        <v>18.374770600518548</v>
      </c>
      <c r="D67" s="10">
        <f t="shared" ref="D67" si="26">(1/(1+D21/100)) * ($B$7*E66 + $B$8*E67)</f>
        <v>18.53760900853667</v>
      </c>
      <c r="E67" s="10">
        <f t="shared" ref="E67" si="27">(1/(1+E21/100)) * ($B$7*F66 + $B$8*F67)</f>
        <v>18.706927751995828</v>
      </c>
      <c r="F67" s="10">
        <f t="shared" si="25"/>
        <v>18.881322804325226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25">
      <c r="B68" s="10"/>
      <c r="C68" s="49">
        <f>C67*1000000</f>
        <v>18374770.600518547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x14ac:dyDescent="0.25">
      <c r="S69" s="10"/>
      <c r="T69" s="10"/>
      <c r="U69" s="10"/>
      <c r="V69" s="10"/>
    </row>
    <row r="70" spans="1:22" x14ac:dyDescent="0.25">
      <c r="S70" s="10"/>
      <c r="T70" s="10"/>
      <c r="U70" s="10"/>
      <c r="V70" s="10"/>
    </row>
    <row r="71" spans="1:22" x14ac:dyDescent="0.25">
      <c r="S71" s="10"/>
      <c r="T71" s="10"/>
      <c r="U71" s="10"/>
      <c r="V71" s="10"/>
    </row>
    <row r="72" spans="1:22" x14ac:dyDescent="0.25">
      <c r="S72" s="10"/>
      <c r="T72" s="10"/>
      <c r="U72" s="10"/>
      <c r="V72" s="10"/>
    </row>
    <row r="73" spans="1:22" x14ac:dyDescent="0.25">
      <c r="S73" s="10"/>
      <c r="T73" s="10"/>
      <c r="U73" s="10"/>
      <c r="V73" s="10"/>
    </row>
    <row r="74" spans="1:22" x14ac:dyDescent="0.25">
      <c r="S74" s="10"/>
      <c r="T74" s="10"/>
      <c r="U74" s="10"/>
      <c r="V74" s="10"/>
    </row>
    <row r="75" spans="1:22" x14ac:dyDescent="0.25">
      <c r="S75" s="10"/>
      <c r="T75" s="10"/>
      <c r="U75" s="10"/>
      <c r="V75" s="10"/>
    </row>
    <row r="76" spans="1:22" x14ac:dyDescent="0.25">
      <c r="S76" s="10"/>
      <c r="T76" s="10"/>
      <c r="U76" s="10"/>
      <c r="V76" s="10"/>
    </row>
    <row r="77" spans="1:22" x14ac:dyDescent="0.25">
      <c r="S77" s="10"/>
      <c r="T77" s="10"/>
      <c r="U77" s="10"/>
      <c r="V77" s="10"/>
    </row>
    <row r="78" spans="1:22" x14ac:dyDescent="0.25">
      <c r="S78" s="10"/>
      <c r="T78" s="10"/>
      <c r="U78" s="10"/>
      <c r="V78" s="10"/>
    </row>
    <row r="79" spans="1:22" x14ac:dyDescent="0.25">
      <c r="S79" s="10"/>
      <c r="T79" s="10"/>
      <c r="U79" s="10"/>
      <c r="V79" s="10"/>
    </row>
    <row r="80" spans="1:2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 t="s">
        <v>26</v>
      </c>
      <c r="P85" s="10"/>
      <c r="Q85" s="10"/>
      <c r="R85" s="10"/>
      <c r="S85" s="10"/>
      <c r="T85" s="10"/>
      <c r="U85" s="10"/>
      <c r="V85" s="10"/>
    </row>
    <row r="86" spans="1:2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 t="s">
        <v>26</v>
      </c>
      <c r="T87" s="10"/>
      <c r="U87" s="10"/>
      <c r="V87" s="10"/>
    </row>
    <row r="88" spans="1:2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</sheetData>
  <mergeCells count="9">
    <mergeCell ref="A38:C38"/>
    <mergeCell ref="A39:C39"/>
    <mergeCell ref="A41:C41"/>
    <mergeCell ref="A42:C42"/>
    <mergeCell ref="A1:H1"/>
    <mergeCell ref="A3:B3"/>
    <mergeCell ref="A4:B4"/>
    <mergeCell ref="A5:B5"/>
    <mergeCell ref="A10:B1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"/>
  <sheetViews>
    <sheetView workbookViewId="0">
      <selection activeCell="G57" sqref="G57"/>
    </sheetView>
  </sheetViews>
  <sheetFormatPr baseColWidth="10" defaultColWidth="8.85546875" defaultRowHeight="15" x14ac:dyDescent="0.25"/>
  <cols>
    <col min="3" max="3" width="12.5703125" bestFit="1" customWidth="1"/>
  </cols>
  <sheetData>
    <row r="1" spans="1:16" ht="15.75" thickBot="1" x14ac:dyDescent="0.3">
      <c r="A1" s="69" t="s">
        <v>19</v>
      </c>
      <c r="B1" s="70"/>
      <c r="C1" s="70"/>
      <c r="D1" s="70"/>
      <c r="E1" s="70"/>
      <c r="F1" s="70"/>
      <c r="G1" s="70"/>
      <c r="H1" s="71"/>
      <c r="I1" s="10"/>
      <c r="J1" s="10"/>
      <c r="K1" s="10"/>
      <c r="L1" s="10"/>
      <c r="M1" s="10"/>
      <c r="N1" s="10"/>
      <c r="O1" s="10"/>
      <c r="P1" s="10"/>
    </row>
    <row r="2" spans="1:16" ht="15.75" thickBo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5">
      <c r="A3" s="72" t="s">
        <v>20</v>
      </c>
      <c r="B3" s="73"/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/>
      <c r="N3" s="11"/>
      <c r="O3" s="11"/>
      <c r="P3" s="12"/>
    </row>
    <row r="4" spans="1:16" ht="15.75" thickBot="1" x14ac:dyDescent="0.3">
      <c r="A4" s="74" t="s">
        <v>21</v>
      </c>
      <c r="B4" s="75"/>
      <c r="C4" s="13">
        <f>3</f>
        <v>3</v>
      </c>
      <c r="D4" s="13">
        <f>3.1</f>
        <v>3.1</v>
      </c>
      <c r="E4" s="13">
        <f>3.2</f>
        <v>3.2</v>
      </c>
      <c r="F4" s="13">
        <f>3.3</f>
        <v>3.3</v>
      </c>
      <c r="G4" s="13">
        <f>3.4</f>
        <v>3.4</v>
      </c>
      <c r="H4" s="13">
        <f>3.5</f>
        <v>3.5</v>
      </c>
      <c r="I4" s="13">
        <f>3.55</f>
        <v>3.55</v>
      </c>
      <c r="J4" s="13">
        <f>3.6</f>
        <v>3.6</v>
      </c>
      <c r="K4" s="13">
        <f>3.65</f>
        <v>3.65</v>
      </c>
      <c r="L4" s="13">
        <f>3.7</f>
        <v>3.7</v>
      </c>
      <c r="M4" s="13"/>
      <c r="N4" s="13"/>
      <c r="O4" s="13"/>
      <c r="P4" s="14"/>
    </row>
    <row r="5" spans="1:16" ht="15.75" thickBot="1" x14ac:dyDescent="0.3">
      <c r="A5" s="76" t="s">
        <v>22</v>
      </c>
      <c r="B5" s="77"/>
      <c r="C5" s="15">
        <v>2.9999970682238444</v>
      </c>
      <c r="D5" s="16">
        <v>3.0404600999069933</v>
      </c>
      <c r="E5" s="16">
        <v>3.0697742326516675</v>
      </c>
      <c r="F5" s="16">
        <v>3.0889985205234396</v>
      </c>
      <c r="G5" s="16">
        <v>3.0991526314875655</v>
      </c>
      <c r="H5" s="16">
        <v>3.101127336940233</v>
      </c>
      <c r="I5" s="16">
        <v>2.8366255226898498</v>
      </c>
      <c r="J5" s="16">
        <v>2.7668946506566181</v>
      </c>
      <c r="K5" s="16">
        <v>2.6974092153181011</v>
      </c>
      <c r="L5" s="16">
        <v>2.628385419204859</v>
      </c>
      <c r="M5" s="16"/>
      <c r="N5" s="16"/>
      <c r="O5" s="16"/>
      <c r="P5" s="17"/>
    </row>
    <row r="6" spans="1:16" x14ac:dyDescent="0.25">
      <c r="A6" s="18" t="s">
        <v>23</v>
      </c>
      <c r="B6" s="19">
        <f>0.1</f>
        <v>0.1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20" t="s">
        <v>24</v>
      </c>
      <c r="B7" s="21">
        <v>0.5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15.75" thickBot="1" x14ac:dyDescent="0.3">
      <c r="A8" s="22" t="s">
        <v>25</v>
      </c>
      <c r="B8" s="23">
        <f>1-B7</f>
        <v>0.5</v>
      </c>
      <c r="C8" s="10" t="s">
        <v>26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thickBot="1" x14ac:dyDescent="0.3">
      <c r="A9" s="46" t="s">
        <v>34</v>
      </c>
      <c r="B9" s="10">
        <f>0.039</f>
        <v>3.9E-2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thickBot="1" x14ac:dyDescent="0.3">
      <c r="A10" s="69" t="s">
        <v>27</v>
      </c>
      <c r="B10" s="7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4"/>
      <c r="B11" s="24"/>
      <c r="C11" s="24">
        <v>0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  <c r="J11" s="24">
        <v>7</v>
      </c>
      <c r="K11" s="24">
        <v>8</v>
      </c>
      <c r="L11" s="24">
        <v>9</v>
      </c>
      <c r="M11" s="24"/>
      <c r="N11" s="24"/>
      <c r="O11" s="24"/>
      <c r="P11" s="24"/>
    </row>
    <row r="12" spans="1:16" x14ac:dyDescent="0.25">
      <c r="A12" s="24"/>
      <c r="B12" s="24">
        <v>9</v>
      </c>
      <c r="C12" s="25"/>
      <c r="D12" s="25" t="str">
        <f t="shared" ref="D12:L21" si="0">IF( $B12 &lt;=D$11,D$5*EXP($B$6*$B12),"")</f>
        <v/>
      </c>
      <c r="E12" s="25" t="str">
        <f t="shared" si="0"/>
        <v/>
      </c>
      <c r="F12" s="25" t="str">
        <f t="shared" si="0"/>
        <v/>
      </c>
      <c r="G12" s="25" t="str">
        <f t="shared" si="0"/>
        <v/>
      </c>
      <c r="H12" s="25" t="str">
        <f t="shared" si="0"/>
        <v/>
      </c>
      <c r="I12" s="25" t="str">
        <f t="shared" si="0"/>
        <v/>
      </c>
      <c r="J12" s="25" t="str">
        <f t="shared" si="0"/>
        <v/>
      </c>
      <c r="K12" s="25" t="str">
        <f t="shared" si="0"/>
        <v/>
      </c>
      <c r="L12" s="25">
        <f t="shared" si="0"/>
        <v>6.4647849543958351</v>
      </c>
      <c r="M12" s="25"/>
      <c r="N12" s="25"/>
      <c r="O12" s="25"/>
      <c r="P12" s="25"/>
    </row>
    <row r="13" spans="1:16" x14ac:dyDescent="0.25">
      <c r="A13" s="24"/>
      <c r="B13" s="24">
        <v>8</v>
      </c>
      <c r="C13" s="25"/>
      <c r="D13" s="25" t="str">
        <f t="shared" si="0"/>
        <v/>
      </c>
      <c r="E13" s="25" t="str">
        <f t="shared" si="0"/>
        <v/>
      </c>
      <c r="F13" s="25" t="str">
        <f t="shared" si="0"/>
        <v/>
      </c>
      <c r="G13" s="25" t="str">
        <f t="shared" si="0"/>
        <v/>
      </c>
      <c r="H13" s="25" t="str">
        <f t="shared" si="0"/>
        <v/>
      </c>
      <c r="I13" s="25" t="str">
        <f t="shared" si="0"/>
        <v/>
      </c>
      <c r="J13" s="25" t="str">
        <f t="shared" si="0"/>
        <v/>
      </c>
      <c r="K13" s="25">
        <f t="shared" si="0"/>
        <v>6.0031946095831863</v>
      </c>
      <c r="L13" s="25">
        <f t="shared" si="0"/>
        <v>5.8495793262932461</v>
      </c>
      <c r="M13" s="25"/>
      <c r="N13" s="25"/>
      <c r="O13" s="25"/>
      <c r="P13" s="25"/>
    </row>
    <row r="14" spans="1:16" x14ac:dyDescent="0.25">
      <c r="A14" s="24"/>
      <c r="B14" s="24">
        <v>7</v>
      </c>
      <c r="C14" s="25"/>
      <c r="D14" s="25" t="str">
        <f t="shared" si="0"/>
        <v/>
      </c>
      <c r="E14" s="25" t="str">
        <f t="shared" si="0"/>
        <v/>
      </c>
      <c r="F14" s="25" t="str">
        <f t="shared" si="0"/>
        <v/>
      </c>
      <c r="G14" s="25" t="str">
        <f t="shared" si="0"/>
        <v/>
      </c>
      <c r="H14" s="25" t="str">
        <f t="shared" si="0"/>
        <v/>
      </c>
      <c r="I14" s="25" t="str">
        <f t="shared" si="0"/>
        <v/>
      </c>
      <c r="J14" s="25">
        <f t="shared" si="0"/>
        <v>5.5718415940453436</v>
      </c>
      <c r="K14" s="25">
        <f t="shared" si="0"/>
        <v>5.43191511050264</v>
      </c>
      <c r="L14" s="25">
        <f t="shared" si="0"/>
        <v>5.2929182541997086</v>
      </c>
      <c r="M14" s="25"/>
      <c r="N14" s="25"/>
      <c r="O14" s="25"/>
      <c r="P14" s="25"/>
    </row>
    <row r="15" spans="1:16" x14ac:dyDescent="0.25">
      <c r="A15" s="24"/>
      <c r="B15" s="24">
        <v>6</v>
      </c>
      <c r="C15" s="25"/>
      <c r="D15" s="25" t="str">
        <f t="shared" si="0"/>
        <v/>
      </c>
      <c r="E15" s="25" t="str">
        <f t="shared" si="0"/>
        <v/>
      </c>
      <c r="F15" s="25" t="str">
        <f t="shared" si="0"/>
        <v/>
      </c>
      <c r="G15" s="25" t="str">
        <f t="shared" si="0"/>
        <v/>
      </c>
      <c r="H15" s="25" t="str">
        <f t="shared" si="0"/>
        <v/>
      </c>
      <c r="I15" s="25">
        <f t="shared" si="0"/>
        <v>5.1686686945607301</v>
      </c>
      <c r="J15" s="25">
        <f t="shared" si="0"/>
        <v>5.0416107616613539</v>
      </c>
      <c r="K15" s="25">
        <f t="shared" si="0"/>
        <v>4.9150000435777228</v>
      </c>
      <c r="L15" s="25">
        <f t="shared" si="0"/>
        <v>4.7892304870054634</v>
      </c>
      <c r="M15" s="25"/>
      <c r="N15" s="25"/>
      <c r="O15" s="25"/>
      <c r="P15" s="25"/>
    </row>
    <row r="16" spans="1:16" x14ac:dyDescent="0.25">
      <c r="A16" s="24"/>
      <c r="B16" s="24">
        <v>5</v>
      </c>
      <c r="C16" s="25"/>
      <c r="D16" s="25" t="str">
        <f t="shared" si="0"/>
        <v/>
      </c>
      <c r="E16" s="25" t="str">
        <f t="shared" si="0"/>
        <v/>
      </c>
      <c r="F16" s="25" t="str">
        <f t="shared" si="0"/>
        <v/>
      </c>
      <c r="G16" s="25" t="str">
        <f t="shared" si="0"/>
        <v/>
      </c>
      <c r="H16" s="25">
        <f t="shared" si="0"/>
        <v>5.1128946035630056</v>
      </c>
      <c r="I16" s="25">
        <f t="shared" si="0"/>
        <v>4.6768048362696248</v>
      </c>
      <c r="J16" s="25">
        <f t="shared" si="0"/>
        <v>4.5618380643239664</v>
      </c>
      <c r="K16" s="25">
        <f t="shared" si="0"/>
        <v>4.4472759490774951</v>
      </c>
      <c r="L16" s="25">
        <f t="shared" si="0"/>
        <v>4.3334749482411246</v>
      </c>
      <c r="M16" s="25"/>
      <c r="N16" s="25"/>
      <c r="O16" s="25"/>
      <c r="P16" s="25"/>
    </row>
    <row r="17" spans="1:16" x14ac:dyDescent="0.25">
      <c r="A17" s="24"/>
      <c r="B17" s="24">
        <v>4</v>
      </c>
      <c r="C17" s="25"/>
      <c r="D17" s="25" t="str">
        <f t="shared" si="0"/>
        <v/>
      </c>
      <c r="E17" s="25" t="str">
        <f t="shared" si="0"/>
        <v/>
      </c>
      <c r="F17" s="25" t="str">
        <f t="shared" si="0"/>
        <v/>
      </c>
      <c r="G17" s="25">
        <f t="shared" si="0"/>
        <v>4.6233924374130844</v>
      </c>
      <c r="H17" s="25">
        <f t="shared" si="0"/>
        <v>4.6263383517779406</v>
      </c>
      <c r="I17" s="25">
        <f t="shared" si="0"/>
        <v>4.2317480127082954</v>
      </c>
      <c r="J17" s="25">
        <f t="shared" si="0"/>
        <v>4.1277217756210574</v>
      </c>
      <c r="K17" s="25">
        <f t="shared" si="0"/>
        <v>4.0240616870567028</v>
      </c>
      <c r="L17" s="25">
        <f t="shared" si="0"/>
        <v>3.9210902832900123</v>
      </c>
      <c r="M17" s="25"/>
      <c r="N17" s="25"/>
      <c r="O17" s="25"/>
      <c r="P17" s="25"/>
    </row>
    <row r="18" spans="1:16" x14ac:dyDescent="0.25">
      <c r="A18" s="24"/>
      <c r="B18" s="24">
        <v>3</v>
      </c>
      <c r="C18" s="25"/>
      <c r="D18" s="25" t="str">
        <f t="shared" si="0"/>
        <v/>
      </c>
      <c r="E18" s="25" t="str">
        <f t="shared" si="0"/>
        <v/>
      </c>
      <c r="F18" s="25">
        <f t="shared" si="0"/>
        <v>4.1697118595178084</v>
      </c>
      <c r="G18" s="25">
        <f t="shared" si="0"/>
        <v>4.1834184756358379</v>
      </c>
      <c r="H18" s="25">
        <f t="shared" si="0"/>
        <v>4.1860840491834894</v>
      </c>
      <c r="I18" s="25">
        <f t="shared" si="0"/>
        <v>3.8290439455977774</v>
      </c>
      <c r="J18" s="25">
        <f t="shared" si="0"/>
        <v>3.7349171138237645</v>
      </c>
      <c r="K18" s="25">
        <f t="shared" si="0"/>
        <v>3.6411215869338145</v>
      </c>
      <c r="L18" s="25">
        <f t="shared" si="0"/>
        <v>3.5479492078180241</v>
      </c>
      <c r="M18" s="25"/>
      <c r="N18" s="25"/>
      <c r="O18" s="25"/>
      <c r="P18" s="25"/>
    </row>
    <row r="19" spans="1:16" x14ac:dyDescent="0.25">
      <c r="A19" s="24"/>
      <c r="B19" s="24">
        <v>2</v>
      </c>
      <c r="C19" s="25"/>
      <c r="D19" s="25" t="str">
        <f t="shared" si="0"/>
        <v/>
      </c>
      <c r="E19" s="25">
        <f t="shared" si="0"/>
        <v>3.7494307146897654</v>
      </c>
      <c r="F19" s="25">
        <f t="shared" si="0"/>
        <v>3.7729113129200131</v>
      </c>
      <c r="G19" s="25">
        <f t="shared" si="0"/>
        <v>3.7853135720582611</v>
      </c>
      <c r="H19" s="25">
        <f t="shared" si="0"/>
        <v>3.7877254827447029</v>
      </c>
      <c r="I19" s="25">
        <f t="shared" si="0"/>
        <v>3.4646622372809159</v>
      </c>
      <c r="J19" s="25">
        <f t="shared" si="0"/>
        <v>3.3794927578506129</v>
      </c>
      <c r="K19" s="25">
        <f t="shared" si="0"/>
        <v>3.2946230554761882</v>
      </c>
      <c r="L19" s="25">
        <f t="shared" si="0"/>
        <v>3.2103172005247891</v>
      </c>
      <c r="M19" s="25"/>
      <c r="N19" s="25"/>
      <c r="O19" s="25"/>
      <c r="P19" s="25"/>
    </row>
    <row r="20" spans="1:16" x14ac:dyDescent="0.25">
      <c r="A20" s="24"/>
      <c r="B20" s="24">
        <v>1</v>
      </c>
      <c r="C20" s="25"/>
      <c r="D20" s="25">
        <f t="shared" si="0"/>
        <v>3.3602280799865873</v>
      </c>
      <c r="E20" s="25">
        <f t="shared" si="0"/>
        <v>3.3926252069846101</v>
      </c>
      <c r="F20" s="25">
        <f t="shared" si="0"/>
        <v>3.4138713308612072</v>
      </c>
      <c r="G20" s="25">
        <f t="shared" si="0"/>
        <v>3.4250933589976724</v>
      </c>
      <c r="H20" s="25">
        <f t="shared" si="0"/>
        <v>3.4272757460357259</v>
      </c>
      <c r="I20" s="25">
        <f t="shared" si="0"/>
        <v>3.1349560331479553</v>
      </c>
      <c r="J20" s="25">
        <f t="shared" si="0"/>
        <v>3.0578915012847734</v>
      </c>
      <c r="K20" s="25">
        <f t="shared" si="0"/>
        <v>2.9810982189188184</v>
      </c>
      <c r="L20" s="25">
        <f t="shared" si="0"/>
        <v>2.9048151267992801</v>
      </c>
      <c r="M20" s="25"/>
      <c r="N20" s="25"/>
      <c r="O20" s="25"/>
      <c r="P20" s="25"/>
    </row>
    <row r="21" spans="1:16" x14ac:dyDescent="0.25">
      <c r="A21" s="24"/>
      <c r="B21" s="24">
        <v>0</v>
      </c>
      <c r="C21" s="25">
        <f>IF( $B21 &lt;=C$11,(C$5+$B$6*$B21),"")</f>
        <v>2.9999970682238444</v>
      </c>
      <c r="D21" s="26">
        <f t="shared" si="0"/>
        <v>3.0404600999069933</v>
      </c>
      <c r="E21" s="25">
        <f t="shared" si="0"/>
        <v>3.0697742326516675</v>
      </c>
      <c r="F21" s="25">
        <f t="shared" si="0"/>
        <v>3.0889985205234396</v>
      </c>
      <c r="G21" s="25">
        <f t="shared" si="0"/>
        <v>3.0991526314875655</v>
      </c>
      <c r="H21" s="25">
        <f t="shared" si="0"/>
        <v>3.101127336940233</v>
      </c>
      <c r="I21" s="25">
        <f t="shared" si="0"/>
        <v>2.8366255226898498</v>
      </c>
      <c r="J21" s="25">
        <f t="shared" si="0"/>
        <v>2.7668946506566181</v>
      </c>
      <c r="K21" s="25">
        <f t="shared" si="0"/>
        <v>2.6974092153181011</v>
      </c>
      <c r="L21" s="25">
        <f t="shared" si="0"/>
        <v>2.628385419204859</v>
      </c>
      <c r="M21" s="25"/>
      <c r="N21" s="25"/>
      <c r="O21" s="25"/>
      <c r="P21" s="25"/>
    </row>
    <row r="22" spans="1:16" x14ac:dyDescent="0.25">
      <c r="A22" s="24"/>
      <c r="M22" s="25"/>
      <c r="N22" s="25"/>
      <c r="O22" s="25"/>
      <c r="P22" s="25"/>
    </row>
    <row r="23" spans="1:16" ht="15.75" thickBot="1" x14ac:dyDescent="0.3">
      <c r="A23" s="24"/>
      <c r="M23" s="25"/>
      <c r="N23" s="25"/>
      <c r="O23" s="25"/>
      <c r="P23" s="25"/>
    </row>
    <row r="24" spans="1:16" ht="15.75" thickBot="1" x14ac:dyDescent="0.3">
      <c r="A24" s="42" t="s">
        <v>28</v>
      </c>
      <c r="B24" s="3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5"/>
      <c r="O24" s="25"/>
      <c r="P24" s="25"/>
    </row>
    <row r="25" spans="1:16" x14ac:dyDescent="0.25">
      <c r="A25" s="10"/>
      <c r="B25" s="10"/>
      <c r="C25" s="10">
        <v>0</v>
      </c>
      <c r="D25" s="10">
        <v>1</v>
      </c>
      <c r="E25" s="10">
        <v>2</v>
      </c>
      <c r="F25" s="10">
        <v>3</v>
      </c>
      <c r="G25" s="10">
        <v>4</v>
      </c>
      <c r="H25" s="10">
        <v>5</v>
      </c>
      <c r="I25" s="10">
        <v>6</v>
      </c>
      <c r="J25" s="10">
        <v>7</v>
      </c>
      <c r="K25" s="10">
        <v>8</v>
      </c>
      <c r="L25" s="10">
        <v>9</v>
      </c>
      <c r="M25" s="10">
        <v>10</v>
      </c>
      <c r="N25" s="25"/>
      <c r="O25" s="25"/>
      <c r="P25" s="25"/>
    </row>
    <row r="26" spans="1:16" x14ac:dyDescent="0.25">
      <c r="A26" s="10"/>
      <c r="B26" s="10">
        <v>10</v>
      </c>
      <c r="C26" s="27"/>
      <c r="D26" s="27" t="str">
        <f>IF($B26=0,$B$8*C26/(1+#REF!/100), IF($B26=D$25, $B$7*C27/(1 +C12/100 ), IF(AND(0 &lt; $B26, $B26 &lt; D$25), $B$7*C27/(1+C12/100) + $B$8*C26/(1+#REF!/100 ),"")))</f>
        <v/>
      </c>
      <c r="E26" s="27" t="str">
        <f>IF($B26=0,$B$8*D26/(1+#REF!/100), IF($B26=E$25, $B$7*D27/(1 +D12/100 ), IF(AND(0 &lt; $B26, $B26 &lt; E$25), $B$7*D27/(1+D12/100) + $B$8*D26/(1+#REF!/100 ),"")))</f>
        <v/>
      </c>
      <c r="F26" s="27" t="str">
        <f>IF($B26=0,$B$8*E26/(1+#REF!/100), IF($B26=F$25, $B$7*E27/(1 +E12/100 ), IF(AND(0 &lt; $B26, $B26 &lt; F$25), $B$7*E27/(1+E12/100) + $B$8*E26/(1+#REF!/100 ),"")))</f>
        <v/>
      </c>
      <c r="G26" s="27" t="str">
        <f>IF($B26=0,$B$8*F26/(1+#REF!/100), IF($B26=G$25, $B$7*F27/(1 +F12/100 ), IF(AND(0 &lt; $B26, $B26 &lt; G$25), $B$7*F27/(1+F12/100) + $B$8*F26/(1+#REF!/100 ),"")))</f>
        <v/>
      </c>
      <c r="H26" s="27" t="str">
        <f>IF($B26=0,$B$8*G26/(1+#REF!/100), IF($B26=H$25, $B$7*G27/(1 +G12/100 ), IF(AND(0 &lt; $B26, $B26 &lt; H$25), $B$7*G27/(1+G12/100) + $B$8*G26/(1+#REF!/100 ),"")))</f>
        <v/>
      </c>
      <c r="I26" s="27" t="str">
        <f>IF($B26=0,$B$8*H26/(1+#REF!/100), IF($B26=I$25, $B$7*H27/(1 +H12/100 ), IF(AND(0 &lt; $B26, $B26 &lt; I$25), $B$7*H27/(1+H12/100) + $B$8*H26/(1+#REF!/100 ),"")))</f>
        <v/>
      </c>
      <c r="J26" s="27" t="str">
        <f>IF($B26=0,$B$8*I26/(1+#REF!/100), IF($B26=J$25, $B$7*I27/(1 +I12/100 ), IF(AND(0 &lt; $B26, $B26 &lt; J$25), $B$7*I27/(1+I12/100) + $B$8*I26/(1+#REF!/100 ),"")))</f>
        <v/>
      </c>
      <c r="K26" s="27" t="str">
        <f>IF($B26=0,$B$8*J26/(1+#REF!/100), IF($B26=K$25, $B$7*J27/(1 +J12/100 ), IF(AND(0 &lt; $B26, $B26 &lt; K$25), $B$7*J27/(1+J12/100) + $B$8*J26/(1+#REF!/100 ),"")))</f>
        <v/>
      </c>
      <c r="L26" s="27" t="str">
        <f>IF($B26=0,$B$8*K26/(1+#REF!/100), IF($B26=L$25, $B$7*K27/(1 +K12/100 ), IF(AND(0 &lt; $B26, $B26 &lt; L$25), $B$7*K27/(1+K12/100) + $B$8*K26/(1+#REF!/100 ),"")))</f>
        <v/>
      </c>
      <c r="M26" s="27">
        <f>IF($B26=0,$B$8*L26/(1+#REF!/100), IF($B26=M$25, $B$7*L27/(1 +L12/100 ), IF(AND(0 &lt; $B26, $B26 &lt; M$25), $B$7*L27/(1+L12/100) + $B$8*L26/(1+#REF!/100 ),"")))</f>
        <v>6.1593939789678857E-4</v>
      </c>
      <c r="N26" s="10"/>
      <c r="O26" s="10"/>
      <c r="P26" s="10"/>
    </row>
    <row r="27" spans="1:16" x14ac:dyDescent="0.25">
      <c r="A27" s="10"/>
      <c r="B27" s="10">
        <v>9</v>
      </c>
      <c r="C27" s="27"/>
      <c r="D27" s="27" t="str">
        <f t="shared" ref="D27:M27" si="1">IF($B27=0,$B$8*C27/(1+C12/100), IF($B27=D$25, $B$7*C28/(1 +C13/100 ), IF(AND(0 &lt; $B27, $B27 &lt; D$25), $B$7*C28/(1+C13/100) + $B$8*C27/(1+C12/100 ),"")))</f>
        <v/>
      </c>
      <c r="E27" s="27" t="str">
        <f t="shared" si="1"/>
        <v/>
      </c>
      <c r="F27" s="27" t="str">
        <f t="shared" si="1"/>
        <v/>
      </c>
      <c r="G27" s="27" t="str">
        <f t="shared" si="1"/>
        <v/>
      </c>
      <c r="H27" s="27" t="str">
        <f t="shared" si="1"/>
        <v/>
      </c>
      <c r="I27" s="27" t="str">
        <f t="shared" si="1"/>
        <v/>
      </c>
      <c r="J27" s="27" t="str">
        <f t="shared" si="1"/>
        <v/>
      </c>
      <c r="K27" s="27" t="str">
        <f t="shared" si="1"/>
        <v/>
      </c>
      <c r="L27" s="27">
        <f t="shared" si="1"/>
        <v>1.3115171108404331E-3</v>
      </c>
      <c r="M27" s="27">
        <f t="shared" si="1"/>
        <v>6.2970842508766403E-3</v>
      </c>
      <c r="N27" s="10"/>
      <c r="O27" s="10"/>
      <c r="P27" s="10"/>
    </row>
    <row r="28" spans="1:16" x14ac:dyDescent="0.25">
      <c r="A28" s="10"/>
      <c r="B28" s="10">
        <v>8</v>
      </c>
      <c r="C28" s="27"/>
      <c r="D28" s="27" t="str">
        <f t="shared" ref="D28:M28" si="2">IF($B28=0,$B$8*C28/(1+C13/100), IF($B28=D$25, $B$7*C29/(1 +C14/100 ), IF(AND(0 &lt; $B28, $B28 &lt; D$25), $B$7*C29/(1+C14/100) + $B$8*C28/(1+C13/100 ),"")))</f>
        <v/>
      </c>
      <c r="E28" s="27" t="str">
        <f t="shared" si="2"/>
        <v/>
      </c>
      <c r="F28" s="27" t="str">
        <f t="shared" si="2"/>
        <v/>
      </c>
      <c r="G28" s="27" t="str">
        <f t="shared" si="2"/>
        <v/>
      </c>
      <c r="H28" s="27" t="str">
        <f t="shared" si="2"/>
        <v/>
      </c>
      <c r="I28" s="27" t="str">
        <f t="shared" si="2"/>
        <v/>
      </c>
      <c r="J28" s="27" t="str">
        <f t="shared" si="2"/>
        <v/>
      </c>
      <c r="K28" s="27">
        <f t="shared" si="2"/>
        <v>2.7805000706843342E-3</v>
      </c>
      <c r="L28" s="27">
        <f t="shared" si="2"/>
        <v>1.2026935855593068E-2</v>
      </c>
      <c r="M28" s="27">
        <f t="shared" si="2"/>
        <v>2.8933088117834564E-2</v>
      </c>
      <c r="N28" s="10"/>
      <c r="O28" s="10"/>
      <c r="P28" s="10"/>
    </row>
    <row r="29" spans="1:16" x14ac:dyDescent="0.25">
      <c r="A29" s="10"/>
      <c r="B29" s="10">
        <v>7</v>
      </c>
      <c r="C29" s="27"/>
      <c r="D29" s="27" t="str">
        <f t="shared" ref="D29:M29" si="3">IF($B29=0,$B$8*C29/(1+C14/100), IF($B29=D$25, $B$7*C30/(1 +C15/100 ), IF(AND(0 &lt; $B29, $B29 &lt; D$25), $B$7*C30/(1+C15/100) + $B$8*C29/(1+C14/100 ),"")))</f>
        <v/>
      </c>
      <c r="E29" s="27" t="str">
        <f t="shared" si="3"/>
        <v/>
      </c>
      <c r="F29" s="27" t="str">
        <f t="shared" si="3"/>
        <v/>
      </c>
      <c r="G29" s="27" t="str">
        <f t="shared" si="3"/>
        <v/>
      </c>
      <c r="H29" s="27" t="str">
        <f t="shared" si="3"/>
        <v/>
      </c>
      <c r="I29" s="27" t="str">
        <f t="shared" si="3"/>
        <v/>
      </c>
      <c r="J29" s="27">
        <f t="shared" si="3"/>
        <v>5.8708502602903678E-3</v>
      </c>
      <c r="K29" s="27">
        <f t="shared" si="3"/>
        <v>2.259494238940497E-2</v>
      </c>
      <c r="L29" s="27">
        <f t="shared" si="3"/>
        <v>4.8965299228752736E-2</v>
      </c>
      <c r="M29" s="27">
        <f t="shared" si="3"/>
        <v>7.8683299658566158E-2</v>
      </c>
      <c r="N29" s="10"/>
      <c r="O29" s="10"/>
      <c r="P29" s="10"/>
    </row>
    <row r="30" spans="1:16" x14ac:dyDescent="0.25">
      <c r="A30" s="10"/>
      <c r="B30" s="10">
        <v>6</v>
      </c>
      <c r="C30" s="27"/>
      <c r="D30" s="27" t="str">
        <f t="shared" ref="D30:M30" si="4">IF($B30=0,$B$8*C30/(1+C15/100), IF($B30=D$25, $B$7*C31/(1 +C16/100 ), IF(AND(0 &lt; $B30, $B30 &lt; D$25), $B$7*C31/(1+C16/100) + $B$8*C30/(1+C15/100 ),"")))</f>
        <v/>
      </c>
      <c r="E30" s="27" t="str">
        <f t="shared" si="4"/>
        <v/>
      </c>
      <c r="F30" s="27" t="str">
        <f t="shared" si="4"/>
        <v/>
      </c>
      <c r="G30" s="27" t="str">
        <f t="shared" si="4"/>
        <v/>
      </c>
      <c r="H30" s="27" t="str">
        <f t="shared" si="4"/>
        <v/>
      </c>
      <c r="I30" s="27">
        <f t="shared" si="4"/>
        <v>1.2348590119597068E-2</v>
      </c>
      <c r="J30" s="27">
        <f t="shared" si="4"/>
        <v>4.1626818750048873E-2</v>
      </c>
      <c r="K30" s="27">
        <f t="shared" si="4"/>
        <v>8.0259724252914277E-2</v>
      </c>
      <c r="L30" s="27">
        <f t="shared" si="4"/>
        <v>0.11617218362695944</v>
      </c>
      <c r="M30" s="27">
        <f t="shared" si="4"/>
        <v>0.1402647773529947</v>
      </c>
      <c r="N30" s="27"/>
      <c r="O30" s="27"/>
      <c r="P30" s="27"/>
    </row>
    <row r="31" spans="1:16" x14ac:dyDescent="0.25">
      <c r="A31" s="10"/>
      <c r="B31" s="10">
        <v>5</v>
      </c>
      <c r="C31" s="27"/>
      <c r="D31" s="27" t="str">
        <f t="shared" ref="D31:M31" si="5">IF($B31=0,$B$8*C31/(1+C16/100), IF($B31=D$25, $B$7*C32/(1 +C17/100 ), IF(AND(0 &lt; $B31, $B31 &lt; D$25), $B$7*C32/(1+C17/100) + $B$8*C31/(1+C16/100 ),"")))</f>
        <v/>
      </c>
      <c r="E31" s="27" t="str">
        <f t="shared" si="5"/>
        <v/>
      </c>
      <c r="F31" s="27" t="str">
        <f t="shared" si="5"/>
        <v/>
      </c>
      <c r="G31" s="27" t="str">
        <f t="shared" si="5"/>
        <v/>
      </c>
      <c r="H31" s="27">
        <f t="shared" si="5"/>
        <v>2.5959921034876123E-2</v>
      </c>
      <c r="I31" s="27">
        <f t="shared" si="5"/>
        <v>7.4856410706685139E-2</v>
      </c>
      <c r="J31" s="27">
        <f t="shared" si="5"/>
        <v>0.12640539562711128</v>
      </c>
      <c r="K31" s="27">
        <f t="shared" si="5"/>
        <v>0.16277544597920685</v>
      </c>
      <c r="L31" s="27">
        <f t="shared" si="5"/>
        <v>0.17701931200857948</v>
      </c>
      <c r="M31" s="27">
        <f t="shared" si="5"/>
        <v>0.17127635504851202</v>
      </c>
      <c r="N31" s="27"/>
      <c r="O31" s="27"/>
      <c r="P31" s="27"/>
    </row>
    <row r="32" spans="1:16" x14ac:dyDescent="0.25">
      <c r="A32" s="10"/>
      <c r="B32" s="10">
        <v>4</v>
      </c>
      <c r="C32" s="27"/>
      <c r="D32" s="27" t="str">
        <f t="shared" ref="D32:M32" si="6">IF($B32=0,$B$8*C32/(1+C17/100), IF($B32=D$25, $B$7*C33/(1 +C18/100 ), IF(AND(0 &lt; $B32, $B32 &lt; D$25), $B$7*C33/(1+C18/100) + $B$8*C32/(1+C17/100 ),"")))</f>
        <v/>
      </c>
      <c r="E32" s="27" t="str">
        <f t="shared" si="6"/>
        <v/>
      </c>
      <c r="F32" s="27" t="str">
        <f t="shared" si="6"/>
        <v/>
      </c>
      <c r="G32" s="27">
        <f t="shared" si="6"/>
        <v>5.4320300121521982E-2</v>
      </c>
      <c r="H32" s="27">
        <f t="shared" si="6"/>
        <v>0.13079928772753818</v>
      </c>
      <c r="I32" s="27">
        <f t="shared" si="6"/>
        <v>0.18897096493753829</v>
      </c>
      <c r="J32" s="27">
        <f t="shared" si="6"/>
        <v>0.21310813701865594</v>
      </c>
      <c r="K32" s="27">
        <f t="shared" si="6"/>
        <v>0.20616946726480151</v>
      </c>
      <c r="L32" s="27">
        <f t="shared" si="6"/>
        <v>0.17966487915678456</v>
      </c>
      <c r="M32" s="27">
        <f t="shared" si="6"/>
        <v>0.14509478104746548</v>
      </c>
      <c r="N32" s="27"/>
      <c r="O32" s="27"/>
      <c r="P32" s="27"/>
    </row>
    <row r="33" spans="1:16" x14ac:dyDescent="0.25">
      <c r="A33" s="10"/>
      <c r="B33" s="10">
        <v>3</v>
      </c>
      <c r="C33" s="27"/>
      <c r="D33" s="27" t="str">
        <f t="shared" ref="D33:M33" si="7">IF($B33=0,$B$8*C33/(1+C18/100), IF($B33=D$25, $B$7*C34/(1 +C19/100 ), IF(AND(0 &lt; $B33, $B33 &lt; D$25), $B$7*C34/(1+C19/100) + $B$8*C33/(1+C18/100 ),"")))</f>
        <v/>
      </c>
      <c r="E33" s="27" t="str">
        <f t="shared" si="7"/>
        <v/>
      </c>
      <c r="F33" s="27">
        <f t="shared" si="7"/>
        <v>0.1131706002356295</v>
      </c>
      <c r="G33" s="27">
        <f t="shared" si="7"/>
        <v>0.21845047225724495</v>
      </c>
      <c r="H33" s="27">
        <f t="shared" si="7"/>
        <v>0.26351399572840062</v>
      </c>
      <c r="I33" s="27">
        <f t="shared" si="7"/>
        <v>0.25429541539574069</v>
      </c>
      <c r="J33" s="27">
        <f t="shared" si="7"/>
        <v>0.2154352302532391</v>
      </c>
      <c r="K33" s="27">
        <f t="shared" si="7"/>
        <v>0.16700288881693767</v>
      </c>
      <c r="L33" s="27">
        <f t="shared" si="7"/>
        <v>0.1214655693955243</v>
      </c>
      <c r="M33" s="27">
        <f t="shared" si="7"/>
        <v>8.4206217950940257E-2</v>
      </c>
      <c r="N33" s="27"/>
      <c r="O33" s="27"/>
      <c r="P33" s="27"/>
    </row>
    <row r="34" spans="1:16" x14ac:dyDescent="0.25">
      <c r="A34" s="10"/>
      <c r="B34" s="10">
        <v>2</v>
      </c>
      <c r="C34" s="27"/>
      <c r="D34" s="27" t="str">
        <f t="shared" ref="D34:M34" si="8">IF($B34=0,$B$8*C34/(1+C19/100), IF($B34=D$25, $B$7*C35/(1 +C20/100 ), IF(AND(0 &lt; $B34, $B34 &lt; D$25), $B$7*C35/(1+C20/100) + $B$8*C34/(1+C19/100 ),"")))</f>
        <v/>
      </c>
      <c r="E34" s="27">
        <f t="shared" si="8"/>
        <v>0.23482770696172592</v>
      </c>
      <c r="F34" s="27">
        <f t="shared" si="8"/>
        <v>0.34064531593629355</v>
      </c>
      <c r="G34" s="27">
        <f t="shared" si="8"/>
        <v>0.32936192260808295</v>
      </c>
      <c r="H34" s="27">
        <f t="shared" si="8"/>
        <v>0.26534841310168844</v>
      </c>
      <c r="I34" s="27">
        <f t="shared" si="8"/>
        <v>0.19239568552560044</v>
      </c>
      <c r="J34" s="27">
        <f t="shared" si="8"/>
        <v>0.13059638879600757</v>
      </c>
      <c r="K34" s="27">
        <f t="shared" si="8"/>
        <v>8.4490248256422817E-2</v>
      </c>
      <c r="L34" s="27">
        <f t="shared" si="8"/>
        <v>5.2749494720336354E-2</v>
      </c>
      <c r="M34" s="27">
        <f t="shared" si="8"/>
        <v>3.2042443406362184E-2</v>
      </c>
      <c r="N34" s="27"/>
      <c r="O34" s="27"/>
      <c r="P34" s="27"/>
    </row>
    <row r="35" spans="1:16" x14ac:dyDescent="0.25">
      <c r="A35" s="10"/>
      <c r="B35" s="10">
        <v>1</v>
      </c>
      <c r="C35" s="27"/>
      <c r="D35" s="27">
        <f t="shared" ref="D35:M35" si="9">IF($B35=0,$B$8*C35/(1+C20/100), IF($B35=D$25, $B$7*C36/(1 +C21/100 ), IF(AND(0 &lt; $B35, $B35 &lt; D$25), $B$7*C36/(1+C21/100) + $B$8*C35/(1+C20/100 ),"")))</f>
        <v>0.48543690702128495</v>
      </c>
      <c r="E35" s="27">
        <f t="shared" si="9"/>
        <v>0.47038416049008275</v>
      </c>
      <c r="F35" s="27">
        <f t="shared" si="9"/>
        <v>0.34174509966243199</v>
      </c>
      <c r="G35" s="27">
        <f t="shared" si="9"/>
        <v>0.22065492151956848</v>
      </c>
      <c r="H35" s="27">
        <f t="shared" si="9"/>
        <v>0.13355236145121233</v>
      </c>
      <c r="I35" s="27">
        <f t="shared" si="9"/>
        <v>7.759846951778876E-2</v>
      </c>
      <c r="J35" s="27">
        <f t="shared" si="9"/>
        <v>4.3957617728478122E-2</v>
      </c>
      <c r="K35" s="27">
        <f t="shared" si="9"/>
        <v>2.4410218567988473E-2</v>
      </c>
      <c r="L35" s="27">
        <f t="shared" si="9"/>
        <v>1.3353077845136667E-2</v>
      </c>
      <c r="M35" s="27">
        <f t="shared" si="9"/>
        <v>7.219489079246833E-3</v>
      </c>
      <c r="N35" s="27"/>
      <c r="O35" s="27"/>
      <c r="P35" s="27"/>
    </row>
    <row r="36" spans="1:16" x14ac:dyDescent="0.25">
      <c r="A36" s="10"/>
      <c r="B36" s="10">
        <v>0</v>
      </c>
      <c r="C36" s="27">
        <v>1</v>
      </c>
      <c r="D36" s="28">
        <f>IF($B36=0,$B$8*C36/(1+C21/100), IF($B36=D$25, $B$7*#REF!/(1 +#REF!/100 ), IF(AND(0 &lt; $B36, $B36 &lt; D$25), $B$7*#REF!/(1+#REF!/100) + $B$8*C36/(1+C21/100 ),"")))</f>
        <v>0.48543690702128495</v>
      </c>
      <c r="E36" s="27">
        <f>IF($B36=0,$B$8*D36/(1+D21/100), IF($B36=E$25, $B$7*#REF!/(1 +#REF!/100 ), IF(AND(0 &lt; $B36, $B36 &lt; E$25), $B$7*#REF!/(1+#REF!/100) + $B$8*D36/(1+D21/100 ),"")))</f>
        <v>0.23555645352835683</v>
      </c>
      <c r="F36" s="27">
        <f>IF($B36=0,$B$8*E36/(1+E21/100), IF($B36=F$25, $B$7*#REF!/(1 +#REF!/100 ), IF(AND(0 &lt; $B36, $B36 &lt; F$25), $B$7*#REF!/(1+#REF!/100) + $B$8*E36/(1+E21/100 ),"")))</f>
        <v>0.11427038396176793</v>
      </c>
      <c r="G36" s="27">
        <f>IF($B36=0,$B$8*F36/(1+F21/100), IF($B36=G$25, $B$7*#REF!/(1 +#REF!/100 ), IF(AND(0 &lt; $B36, $B36 &lt; G$25), $B$7*#REF!/(1+#REF!/100) + $B$8*F36/(1+F21/100 ),"")))</f>
        <v>5.5423171047208515E-2</v>
      </c>
      <c r="H36" s="27">
        <f>IF($B36=0,$B$8*G36/(1+G21/100), IF($B36=H$25, $B$7*#REF!/(1 +#REF!/100 ), IF(AND(0 &lt; $B36, $B36 &lt; H$25), $B$7*#REF!/(1+#REF!/100) + $B$8*G36/(1+G21/100 ),"")))</f>
        <v>2.6878577385262472E-2</v>
      </c>
      <c r="I36" s="27">
        <f>IF($B36=0,$B$8*H36/(1+H21/100), IF($B36=I$25, $B$7*#REF!/(1 +#REF!/100 ), IF(AND(0 &lt; $B36, $B36 &lt; I$25), $B$7*#REF!/(1+#REF!/100) + $B$8*H36/(1+H21/100 ),"")))</f>
        <v>1.3035055037478777E-2</v>
      </c>
      <c r="J36" s="27">
        <f>IF($B36=0,$B$8*I36/(1+I21/100), IF($B36=J$25, $B$7*#REF!/(1 +#REF!/100 ), IF(AND(0 &lt; $B36, $B36 &lt; J$25), $B$7*#REF!/(1+#REF!/100) + $B$8*I36/(1+I21/100 ),"")))</f>
        <v>6.3377493044064958E-3</v>
      </c>
      <c r="K36" s="27">
        <f>IF($B36=0,$B$8*J36/(1+J21/100), IF($B36=K$25, $B$7*#REF!/(1 +#REF!/100 ), IF(AND(0 &lt; $B36, $B36 &lt; K$25), $B$7*#REF!/(1+#REF!/100) + $B$8*J36/(1+J21/100 ),"")))</f>
        <v>3.083555908715006E-3</v>
      </c>
      <c r="L36" s="27">
        <f>IF($B36=0,$B$8*K36/(1+K21/100), IF($B36=L$25, $B$7*#REF!/(1 +#REF!/100 ), IF(AND(0 &lt; $B36, $B36 &lt; L$25), $B$7*#REF!/(1+#REF!/100) + $B$8*K36/(1+K21/100 ),"")))</f>
        <v>1.5012822291602028E-3</v>
      </c>
      <c r="M36" s="27">
        <f>IF($B36=0,$B$8*L36/(1+L21/100), IF($B36=M$25, $B$7*#REF!/(1 +#REF!/100 ), IF(AND(0 &lt; $B36, $B36 &lt; M$25), $B$7*#REF!/(1+#REF!/100) + $B$8*L36/(1+L21/100 ),"")))</f>
        <v>7.3141666558814821E-4</v>
      </c>
      <c r="N36" s="27"/>
      <c r="O36" s="27"/>
      <c r="P36" s="27"/>
    </row>
    <row r="37" spans="1:16" ht="15.75" thickBot="1" x14ac:dyDescent="0.3">
      <c r="N37" s="27"/>
      <c r="O37" s="27"/>
      <c r="P37" s="27"/>
    </row>
    <row r="38" spans="1:16" ht="15.75" thickBot="1" x14ac:dyDescent="0.3">
      <c r="A38" s="69" t="s">
        <v>29</v>
      </c>
      <c r="B38" s="70"/>
      <c r="C38" s="71"/>
      <c r="D38" s="29">
        <f>SUM(D35:D36)</f>
        <v>0.97087381404256989</v>
      </c>
      <c r="E38" s="30">
        <f>SUM(E34:E36)</f>
        <v>0.9407683209801655</v>
      </c>
      <c r="F38" s="30">
        <f>SUM(F33:F36)</f>
        <v>0.90983139979612304</v>
      </c>
      <c r="G38" s="30">
        <f>SUM(G32:G36)</f>
        <v>0.87821078755362691</v>
      </c>
      <c r="H38" s="30">
        <f>SUM(H31:H36)</f>
        <v>0.84605255642897814</v>
      </c>
      <c r="I38" s="30">
        <f>SUM(I30:I36)</f>
        <v>0.81350059124042906</v>
      </c>
      <c r="J38" s="30">
        <f>SUM(J29:J36)</f>
        <v>0.78333818773823771</v>
      </c>
      <c r="K38" s="30">
        <f>SUM(K28:K36)</f>
        <v>0.75356699150707596</v>
      </c>
      <c r="L38" s="30">
        <f>SUM(L27:L36)</f>
        <v>0.72422955117766719</v>
      </c>
      <c r="M38" s="30">
        <f>SUM(M26:M36)</f>
        <v>0.69536489197628393</v>
      </c>
      <c r="N38" s="30"/>
      <c r="O38" s="30"/>
      <c r="P38" s="30"/>
    </row>
    <row r="39" spans="1:16" ht="15.75" thickBot="1" x14ac:dyDescent="0.3">
      <c r="A39" s="69" t="s">
        <v>30</v>
      </c>
      <c r="B39" s="70"/>
      <c r="C39" s="71"/>
      <c r="D39" s="32">
        <f t="shared" ref="D39:M39" si="10">100*((1/D38)^(1/D25)-1)</f>
        <v>2.9999970682238475</v>
      </c>
      <c r="E39" s="33">
        <f t="shared" si="10"/>
        <v>3.099998183512187</v>
      </c>
      <c r="F39" s="33">
        <f t="shared" si="10"/>
        <v>3.1999989820340913</v>
      </c>
      <c r="G39" s="33">
        <f t="shared" si="10"/>
        <v>3.2999968150162706</v>
      </c>
      <c r="H39" s="33">
        <f t="shared" si="10"/>
        <v>3.3999982925723371</v>
      </c>
      <c r="I39" s="33">
        <f t="shared" si="10"/>
        <v>3.500001125274288</v>
      </c>
      <c r="J39" s="33">
        <f t="shared" si="10"/>
        <v>3.5499992669264735</v>
      </c>
      <c r="K39" s="33">
        <f t="shared" si="10"/>
        <v>3.6000026814227537</v>
      </c>
      <c r="L39" s="33">
        <f t="shared" si="10"/>
        <v>3.6500000134545685</v>
      </c>
      <c r="M39" s="33">
        <f t="shared" si="10"/>
        <v>3.6999922670315266</v>
      </c>
      <c r="N39" s="33"/>
      <c r="O39" s="33"/>
      <c r="P39" s="33"/>
    </row>
    <row r="40" spans="1:16" ht="15.75" thickBo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5.75" thickBot="1" x14ac:dyDescent="0.3">
      <c r="A41" s="69" t="s">
        <v>31</v>
      </c>
      <c r="B41" s="70"/>
      <c r="C41" s="71"/>
      <c r="D41" s="35">
        <f t="shared" ref="D41:M41" si="11">(D39-C4)^2</f>
        <v>8.5953114084553167E-12</v>
      </c>
      <c r="E41" s="36">
        <f t="shared" si="11"/>
        <v>3.299627974979317E-12</v>
      </c>
      <c r="F41" s="36">
        <f t="shared" si="11"/>
        <v>1.0362545916835487E-12</v>
      </c>
      <c r="G41" s="36">
        <f t="shared" si="11"/>
        <v>1.0144121355259952E-11</v>
      </c>
      <c r="H41" s="36">
        <f t="shared" si="11"/>
        <v>2.9153092237339807E-12</v>
      </c>
      <c r="I41" s="36">
        <f t="shared" si="11"/>
        <v>1.2662422231707419E-12</v>
      </c>
      <c r="J41" s="36">
        <f t="shared" si="11"/>
        <v>5.3739679500102988E-13</v>
      </c>
      <c r="K41" s="36">
        <f t="shared" si="11"/>
        <v>7.1900279836003397E-12</v>
      </c>
      <c r="L41" s="36">
        <f t="shared" si="11"/>
        <v>1.8102541541509224E-16</v>
      </c>
      <c r="M41" s="36">
        <f t="shared" si="11"/>
        <v>5.9798801413098252E-11</v>
      </c>
      <c r="N41" s="36"/>
      <c r="O41" s="36"/>
      <c r="P41" s="36"/>
    </row>
    <row r="42" spans="1:16" ht="15.75" thickBot="1" x14ac:dyDescent="0.3">
      <c r="A42" s="69" t="s">
        <v>32</v>
      </c>
      <c r="B42" s="70"/>
      <c r="C42" s="71"/>
      <c r="D42" s="38">
        <f>SUM(D41:Q41)</f>
        <v>9.4783273994397891E-11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25">
      <c r="A43" s="10"/>
      <c r="N43" s="27"/>
      <c r="O43" s="27"/>
      <c r="P43" s="27"/>
    </row>
    <row r="44" spans="1:16" ht="15.75" thickBot="1" x14ac:dyDescent="0.3">
      <c r="A44" s="10"/>
      <c r="N44" s="27"/>
      <c r="O44" s="27"/>
      <c r="P44" s="27"/>
    </row>
    <row r="45" spans="1:16" ht="15.75" thickBot="1" x14ac:dyDescent="0.3">
      <c r="A45" s="43"/>
      <c r="B45" s="36"/>
      <c r="C45" s="37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6" x14ac:dyDescent="0.25">
      <c r="A46" s="45" t="s">
        <v>33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24"/>
      <c r="N46" s="24"/>
      <c r="O46" s="24"/>
      <c r="P46" s="24"/>
    </row>
    <row r="47" spans="1:16" x14ac:dyDescent="0.25">
      <c r="B47" s="10"/>
      <c r="C47" s="10">
        <f>0</f>
        <v>0</v>
      </c>
      <c r="D47" s="10">
        <f t="shared" ref="D47:L47" si="12">C47+1</f>
        <v>1</v>
      </c>
      <c r="E47" s="10">
        <f t="shared" si="12"/>
        <v>2</v>
      </c>
      <c r="F47" s="10">
        <f t="shared" si="12"/>
        <v>3</v>
      </c>
      <c r="G47" s="10">
        <f t="shared" si="12"/>
        <v>4</v>
      </c>
      <c r="H47" s="10">
        <f t="shared" si="12"/>
        <v>5</v>
      </c>
      <c r="I47" s="10">
        <f t="shared" si="12"/>
        <v>6</v>
      </c>
      <c r="J47" s="10">
        <f t="shared" si="12"/>
        <v>7</v>
      </c>
      <c r="K47" s="10">
        <f t="shared" si="12"/>
        <v>8</v>
      </c>
      <c r="L47" s="10">
        <f t="shared" si="12"/>
        <v>9</v>
      </c>
      <c r="M47" s="10"/>
      <c r="N47" s="25"/>
      <c r="O47" s="25"/>
      <c r="P47" s="25"/>
    </row>
    <row r="48" spans="1:16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5"/>
      <c r="O48" s="25"/>
      <c r="P48" s="25"/>
    </row>
    <row r="49" spans="1:16" x14ac:dyDescent="0.25">
      <c r="B49" s="10">
        <f>9</f>
        <v>9</v>
      </c>
      <c r="C49" s="10"/>
      <c r="D49" s="10"/>
      <c r="E49" s="10"/>
      <c r="F49" s="10"/>
      <c r="G49" s="10"/>
      <c r="H49" s="10"/>
      <c r="I49" s="10"/>
      <c r="J49" s="10"/>
      <c r="K49" s="10"/>
      <c r="L49" s="10">
        <f>(L12/100 - $B$9) /(1 + L12/100)</f>
        <v>2.409045352878382E-2</v>
      </c>
      <c r="M49" s="10"/>
      <c r="N49" s="25"/>
      <c r="O49" s="25"/>
      <c r="P49" s="25"/>
    </row>
    <row r="50" spans="1:16" x14ac:dyDescent="0.25">
      <c r="B50" s="10">
        <f t="shared" ref="B50:B58" si="13">B49-1</f>
        <v>8</v>
      </c>
      <c r="C50" s="10"/>
      <c r="D50" s="10"/>
      <c r="E50" s="10"/>
      <c r="F50" s="10"/>
      <c r="G50" s="10"/>
      <c r="H50" s="10"/>
      <c r="I50" s="10"/>
      <c r="J50" s="10"/>
      <c r="K50" s="10">
        <f>(1 /(1+K13/100)) * ((K13-$B$9) + $B$7*L49 + $B$8*L50)</f>
        <v>5.6464798591408591</v>
      </c>
      <c r="L50" s="10">
        <f t="shared" ref="L50:L58" si="14">(L13/100 - $B$9) /(1 + L13/100)</f>
        <v>1.8418394656850245E-2</v>
      </c>
      <c r="M50" s="10"/>
      <c r="N50" s="25"/>
      <c r="O50" s="25"/>
      <c r="P50" s="25"/>
    </row>
    <row r="51" spans="1:16" x14ac:dyDescent="0.25">
      <c r="B51" s="10">
        <f t="shared" si="13"/>
        <v>7</v>
      </c>
      <c r="C51" s="10"/>
      <c r="D51" s="10"/>
      <c r="E51" s="10"/>
      <c r="F51" s="10"/>
      <c r="G51" s="10"/>
      <c r="H51" s="10"/>
      <c r="I51" s="10"/>
      <c r="J51" s="10">
        <f t="shared" ref="J51:K51" si="15">(1 /(1+J14/100)) * ((J14-$B$9) + $B$7*K50 + $B$8*K51)</f>
        <v>10.34472832433547</v>
      </c>
      <c r="K51" s="10">
        <f t="shared" si="15"/>
        <v>5.1300773525720169</v>
      </c>
      <c r="L51" s="10">
        <f t="shared" si="14"/>
        <v>1.3228983271571073E-2</v>
      </c>
      <c r="M51" s="10"/>
      <c r="N51" s="25"/>
      <c r="O51" s="25"/>
      <c r="P51" s="25"/>
    </row>
    <row r="52" spans="1:16" x14ac:dyDescent="0.25">
      <c r="B52" s="10">
        <f t="shared" si="13"/>
        <v>6</v>
      </c>
      <c r="C52" s="10"/>
      <c r="D52" s="10"/>
      <c r="E52" s="10"/>
      <c r="F52" s="10"/>
      <c r="G52" s="10"/>
      <c r="H52" s="10"/>
      <c r="I52" s="10">
        <f t="shared" ref="I52:K52" si="16">(1 /(1+I15/100)) * ((I15-$B$9) + $B$7*J51 + $B$8*J52)</f>
        <v>14.275009379834758</v>
      </c>
      <c r="J52" s="10">
        <f t="shared" si="16"/>
        <v>9.421608928134841</v>
      </c>
      <c r="K52" s="10">
        <f t="shared" si="16"/>
        <v>4.6579206796599442</v>
      </c>
      <c r="L52" s="10">
        <f t="shared" si="14"/>
        <v>8.4858957630739914E-3</v>
      </c>
      <c r="M52" s="10"/>
      <c r="N52" s="25"/>
      <c r="O52" s="25"/>
      <c r="P52" s="25"/>
    </row>
    <row r="53" spans="1:16" x14ac:dyDescent="0.25">
      <c r="B53" s="10">
        <f t="shared" si="13"/>
        <v>5</v>
      </c>
      <c r="C53" s="10"/>
      <c r="D53" s="10"/>
      <c r="E53" s="10"/>
      <c r="F53" s="10"/>
      <c r="G53" s="10"/>
      <c r="H53" s="10">
        <f t="shared" ref="H53:K53" si="17">(1 /(1+H16/100)) * ((H16-$B$9) + $B$7*I52 + $B$8*I53)</f>
        <v>17.813789582767871</v>
      </c>
      <c r="I53" s="10">
        <f t="shared" si="17"/>
        <v>13.02638115110979</v>
      </c>
      <c r="J53" s="10">
        <f t="shared" si="17"/>
        <v>8.5739805488775218</v>
      </c>
      <c r="K53" s="10">
        <f t="shared" si="17"/>
        <v>4.2266265060600201</v>
      </c>
      <c r="L53" s="10">
        <f t="shared" si="14"/>
        <v>4.1547063246591548E-3</v>
      </c>
      <c r="M53" s="10"/>
      <c r="N53" s="25"/>
      <c r="O53" s="25"/>
      <c r="P53" s="25"/>
    </row>
    <row r="54" spans="1:16" x14ac:dyDescent="0.25">
      <c r="B54" s="10">
        <f t="shared" si="13"/>
        <v>4</v>
      </c>
      <c r="C54" s="10"/>
      <c r="D54" s="10"/>
      <c r="E54" s="10"/>
      <c r="F54" s="10"/>
      <c r="G54" s="10">
        <f t="shared" ref="G54:K54" si="18">(1 /(1+G17/100)) * ((G17-$B$9) + $B$7*H53 + $B$8*H54)</f>
        <v>20.677728875515353</v>
      </c>
      <c r="H54" s="10">
        <f t="shared" si="18"/>
        <v>16.284908399555377</v>
      </c>
      <c r="I54" s="10">
        <f t="shared" si="18"/>
        <v>11.875548870126156</v>
      </c>
      <c r="J54" s="10">
        <f t="shared" si="18"/>
        <v>7.7967077725777303</v>
      </c>
      <c r="K54" s="10">
        <f t="shared" si="18"/>
        <v>3.8329982968737855</v>
      </c>
      <c r="L54" s="10">
        <f t="shared" si="14"/>
        <v>2.0294516957549173E-4</v>
      </c>
      <c r="M54" s="10"/>
      <c r="N54" s="25"/>
      <c r="O54" s="25"/>
      <c r="P54" s="25"/>
    </row>
    <row r="55" spans="1:16" x14ac:dyDescent="0.25">
      <c r="B55" s="10">
        <f t="shared" si="13"/>
        <v>3</v>
      </c>
      <c r="C55" s="10"/>
      <c r="D55" s="10"/>
      <c r="E55" s="10"/>
      <c r="F55" s="10">
        <f t="shared" ref="F55:K55" si="19">(1 /(1+F18/100)) * ((F18-$B$9) + $B$7*G54 + $B$8*G55)</f>
        <v>22.976655022273771</v>
      </c>
      <c r="G55" s="10">
        <f t="shared" si="19"/>
        <v>18.930278068765052</v>
      </c>
      <c r="H55" s="10">
        <f t="shared" si="19"/>
        <v>14.870676287138959</v>
      </c>
      <c r="I55" s="10">
        <f t="shared" si="19"/>
        <v>10.816633621908055</v>
      </c>
      <c r="J55" s="10">
        <f t="shared" si="19"/>
        <v>7.0848188896771536</v>
      </c>
      <c r="K55" s="10">
        <f t="shared" si="19"/>
        <v>3.4740294812209336</v>
      </c>
      <c r="L55" s="10">
        <f t="shared" si="14"/>
        <v>-3.3998818409760982E-3</v>
      </c>
      <c r="M55" s="10"/>
      <c r="N55" s="25"/>
      <c r="O55" s="25"/>
      <c r="P55" s="25"/>
    </row>
    <row r="56" spans="1:16" x14ac:dyDescent="0.25">
      <c r="B56" s="10">
        <f t="shared" si="13"/>
        <v>2</v>
      </c>
      <c r="C56" s="10"/>
      <c r="D56" s="10"/>
      <c r="E56" s="10">
        <f t="shared" ref="E56:K58" si="20">(1 /(1+E19/100)) * ((E19-$B$9) + $B$7*F55 + $B$8*F56)</f>
        <v>24.798466574729893</v>
      </c>
      <c r="F56" s="10">
        <f t="shared" si="20"/>
        <v>21.05901934285647</v>
      </c>
      <c r="G56" s="10">
        <f>(1 /(1+G19/100)) * ((G19-$B$9) + $B$7*H55 + $B$8*H56)</f>
        <v>17.309014237461152</v>
      </c>
      <c r="H56" s="10">
        <f t="shared" si="20"/>
        <v>13.56512597390706</v>
      </c>
      <c r="I56" s="10">
        <f t="shared" si="20"/>
        <v>9.84378682697686</v>
      </c>
      <c r="J56" s="10">
        <f t="shared" si="20"/>
        <v>6.4335382195401385</v>
      </c>
      <c r="K56" s="10">
        <f t="shared" si="20"/>
        <v>3.1469033585639381</v>
      </c>
      <c r="L56" s="10">
        <f t="shared" si="14"/>
        <v>-6.6823048139193599E-3</v>
      </c>
      <c r="M56" s="10"/>
      <c r="N56" s="25"/>
      <c r="O56" s="25"/>
      <c r="P56" s="25"/>
    </row>
    <row r="57" spans="1:16" x14ac:dyDescent="0.25">
      <c r="B57" s="10">
        <f t="shared" si="13"/>
        <v>1</v>
      </c>
      <c r="C57" s="10"/>
      <c r="D57" s="10">
        <f t="shared" ref="D57:D58" si="21">(1 /(1+D20/100)) * ((D20-$B$9) + $B$7*E56 + $B$8*E57)</f>
        <v>26.214146175568864</v>
      </c>
      <c r="E57" s="10">
        <f t="shared" si="20"/>
        <v>22.74907981787505</v>
      </c>
      <c r="F57" s="10">
        <f t="shared" si="20"/>
        <v>19.27547191144096</v>
      </c>
      <c r="G57" s="10">
        <f t="shared" si="20"/>
        <v>15.808266542644132</v>
      </c>
      <c r="H57" s="10">
        <f t="shared" si="20"/>
        <v>12.362116168435369</v>
      </c>
      <c r="I57" s="10">
        <f t="shared" si="20"/>
        <v>8.9512616360975183</v>
      </c>
      <c r="J57" s="10">
        <f t="shared" si="20"/>
        <v>5.8383092197663835</v>
      </c>
      <c r="K57" s="10">
        <f t="shared" si="20"/>
        <v>2.8489904012992047</v>
      </c>
      <c r="L57" s="10">
        <f t="shared" si="14"/>
        <v>-9.6709262047111524E-3</v>
      </c>
      <c r="M57" s="10"/>
      <c r="N57" s="10"/>
      <c r="O57" s="10"/>
      <c r="P57" s="10"/>
    </row>
    <row r="58" spans="1:16" x14ac:dyDescent="0.25">
      <c r="B58" s="10">
        <f t="shared" si="13"/>
        <v>0</v>
      </c>
      <c r="C58" s="10">
        <f>(1 /(1+C21/100)) * ((C21-$B$9) + $B$7*D57 + $B$8*D58)</f>
        <v>27.281595794829435</v>
      </c>
      <c r="D58" s="10">
        <f t="shared" si="21"/>
        <v>24.063945425661441</v>
      </c>
      <c r="E58" s="10">
        <f t="shared" si="20"/>
        <v>20.83920015189511</v>
      </c>
      <c r="F58" s="10">
        <f t="shared" si="20"/>
        <v>17.620812720153094</v>
      </c>
      <c r="G58" s="10">
        <f t="shared" si="20"/>
        <v>14.421975145074649</v>
      </c>
      <c r="H58" s="10">
        <f t="shared" si="20"/>
        <v>11.255446903180925</v>
      </c>
      <c r="I58" s="10">
        <f t="shared" si="20"/>
        <v>8.1334689780025364</v>
      </c>
      <c r="J58" s="10">
        <f t="shared" si="20"/>
        <v>5.2948098046791516</v>
      </c>
      <c r="K58" s="10">
        <f t="shared" si="20"/>
        <v>2.5778435252420833</v>
      </c>
      <c r="L58" s="10">
        <f t="shared" si="14"/>
        <v>-1.2390476334602685E-2</v>
      </c>
      <c r="M58" s="10"/>
      <c r="N58" s="10"/>
      <c r="O58" s="10"/>
      <c r="P58" s="10"/>
    </row>
    <row r="59" spans="1:16" x14ac:dyDescent="0.25">
      <c r="A59" s="39"/>
      <c r="B59" s="40"/>
      <c r="C59" s="41"/>
      <c r="D59" s="3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25">
      <c r="A60" s="47" t="s">
        <v>35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25">
      <c r="B61" s="10"/>
      <c r="C61" s="48">
        <v>0</v>
      </c>
      <c r="D61" s="48">
        <v>1</v>
      </c>
      <c r="E61" s="48">
        <v>2</v>
      </c>
      <c r="F61" s="48">
        <v>3</v>
      </c>
      <c r="G61" s="48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x14ac:dyDescent="0.25">
      <c r="B63" s="48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B64" s="48">
        <v>3</v>
      </c>
      <c r="C64" s="10"/>
      <c r="D64" s="10"/>
      <c r="E64" s="10"/>
      <c r="F64" s="10">
        <f>MAX(F55,0)</f>
        <v>22.976655022273771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x14ac:dyDescent="0.25">
      <c r="B65" s="48">
        <v>2</v>
      </c>
      <c r="C65" s="10"/>
      <c r="D65" s="10"/>
      <c r="E65" s="10">
        <f>(1/(1+E19/100)) * ($B$7*F64 + $B$8*F65)</f>
        <v>21.222128189902097</v>
      </c>
      <c r="F65" s="10">
        <f t="shared" ref="F65:F67" si="22">MAX(F56,0)</f>
        <v>21.05901934285647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x14ac:dyDescent="0.25">
      <c r="B66" s="48">
        <v>1</v>
      </c>
      <c r="C66" s="10"/>
      <c r="D66" s="10">
        <f>(1/(1+D20/100)) * ($B$7*E65 + $B$8*E66)</f>
        <v>19.701787698442228</v>
      </c>
      <c r="E66" s="10">
        <f>(1/(1+E20/100)) * ($B$7*F65 + $B$8*F66)</f>
        <v>19.505497211987162</v>
      </c>
      <c r="F66" s="10">
        <f t="shared" si="22"/>
        <v>19.27547191144096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x14ac:dyDescent="0.25">
      <c r="B67" s="48">
        <v>0</v>
      </c>
      <c r="C67" s="10">
        <f>(1/(1+C21/100)) * ($B$7*D66 + $B$8*D67)</f>
        <v>18.374773242299675</v>
      </c>
      <c r="D67" s="10">
        <f t="shared" ref="D67:E67" si="23">(1/(1+D21/100)) * ($B$7*E66 + $B$8*E67)</f>
        <v>18.150244103280659</v>
      </c>
      <c r="E67" s="10">
        <f t="shared" si="23"/>
        <v>17.898692854566093</v>
      </c>
      <c r="F67" s="10">
        <f t="shared" si="22"/>
        <v>17.620812720153094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x14ac:dyDescent="0.25">
      <c r="B68" s="10"/>
      <c r="C68" s="49">
        <f>C67*1000000</f>
        <v>18374773.242299676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</sheetData>
  <mergeCells count="9">
    <mergeCell ref="A39:C39"/>
    <mergeCell ref="A41:C41"/>
    <mergeCell ref="A42:C42"/>
    <mergeCell ref="A1:H1"/>
    <mergeCell ref="A3:B3"/>
    <mergeCell ref="A4:B4"/>
    <mergeCell ref="A5:B5"/>
    <mergeCell ref="A10:B10"/>
    <mergeCell ref="A38:C38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B50" sqref="B50"/>
    </sheetView>
  </sheetViews>
  <sheetFormatPr baseColWidth="10" defaultRowHeight="15" x14ac:dyDescent="0.25"/>
  <sheetData>
    <row r="1" spans="1:12" ht="15.75" thickBot="1" x14ac:dyDescent="0.3">
      <c r="A1" s="78" t="s">
        <v>36</v>
      </c>
      <c r="B1" s="79"/>
      <c r="C1" s="10"/>
      <c r="D1" s="10" t="s">
        <v>22</v>
      </c>
      <c r="E1" s="10">
        <f>0.01</f>
        <v>0.01</v>
      </c>
      <c r="F1" s="10"/>
      <c r="G1" s="10"/>
      <c r="H1" s="10"/>
      <c r="I1" s="10"/>
      <c r="J1" s="10"/>
      <c r="K1" s="10"/>
      <c r="L1" s="10"/>
    </row>
    <row r="2" spans="1:12" ht="15.75" thickBot="1" x14ac:dyDescent="0.3">
      <c r="A2" s="10" t="s">
        <v>37</v>
      </c>
      <c r="B2" s="10">
        <f>10</f>
        <v>10</v>
      </c>
      <c r="C2" s="10"/>
      <c r="D2" s="10" t="s">
        <v>23</v>
      </c>
      <c r="E2" s="10">
        <f>1.01</f>
        <v>1.01</v>
      </c>
      <c r="F2" s="10"/>
      <c r="G2" s="10"/>
      <c r="H2" s="10"/>
      <c r="I2" s="10"/>
      <c r="J2" s="10"/>
      <c r="K2" s="10"/>
      <c r="L2" s="10"/>
    </row>
    <row r="3" spans="1:12" x14ac:dyDescent="0.25">
      <c r="A3" s="50" t="s">
        <v>38</v>
      </c>
      <c r="B3" s="51">
        <f>5/100</f>
        <v>0.05</v>
      </c>
      <c r="C3" s="10"/>
      <c r="D3" s="10" t="s">
        <v>44</v>
      </c>
      <c r="E3" s="10">
        <f>100</f>
        <v>100</v>
      </c>
      <c r="F3" s="10"/>
      <c r="G3" s="10"/>
      <c r="H3" s="10"/>
      <c r="I3" s="10"/>
      <c r="J3" s="10"/>
      <c r="K3" s="10"/>
      <c r="L3" s="10"/>
    </row>
    <row r="4" spans="1:12" x14ac:dyDescent="0.25">
      <c r="A4" s="52" t="s">
        <v>39</v>
      </c>
      <c r="B4" s="53">
        <f>1.1</f>
        <v>1.1000000000000001</v>
      </c>
      <c r="C4" s="10"/>
      <c r="D4" s="10" t="s">
        <v>45</v>
      </c>
      <c r="E4" s="10">
        <f>20</f>
        <v>20</v>
      </c>
      <c r="F4" s="10"/>
      <c r="G4" s="10"/>
      <c r="H4" s="10"/>
      <c r="I4" s="10"/>
      <c r="J4" s="10"/>
      <c r="K4" s="10"/>
      <c r="L4" s="10"/>
    </row>
    <row r="5" spans="1:12" x14ac:dyDescent="0.25">
      <c r="A5" s="52" t="s">
        <v>40</v>
      </c>
      <c r="B5" s="51">
        <f>0.9</f>
        <v>0.9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52" t="s">
        <v>24</v>
      </c>
      <c r="B6" s="53">
        <f>0.5</f>
        <v>0.5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15.75" thickBot="1" x14ac:dyDescent="0.3">
      <c r="A7" s="54" t="s">
        <v>25</v>
      </c>
      <c r="B7" s="55">
        <f>1-$B$6</f>
        <v>0.5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45" t="s">
        <v>41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>
        <v>0</v>
      </c>
      <c r="C11" s="10">
        <f t="shared" ref="C11:L11" si="0">B11+1</f>
        <v>1</v>
      </c>
      <c r="D11" s="10">
        <f t="shared" si="0"/>
        <v>2</v>
      </c>
      <c r="E11" s="10">
        <f t="shared" si="0"/>
        <v>3</v>
      </c>
      <c r="F11" s="10">
        <f t="shared" si="0"/>
        <v>4</v>
      </c>
      <c r="G11" s="10">
        <f t="shared" si="0"/>
        <v>5</v>
      </c>
      <c r="H11" s="10">
        <f t="shared" si="0"/>
        <v>6</v>
      </c>
      <c r="I11" s="10">
        <f t="shared" si="0"/>
        <v>7</v>
      </c>
      <c r="J11" s="10">
        <f t="shared" si="0"/>
        <v>8</v>
      </c>
      <c r="K11" s="10">
        <f t="shared" si="0"/>
        <v>9</v>
      </c>
      <c r="L11" s="10">
        <f t="shared" si="0"/>
        <v>10</v>
      </c>
    </row>
    <row r="12" spans="1:12" x14ac:dyDescent="0.25">
      <c r="A12" s="10">
        <f>10</f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>
        <f>$B$4 *K13</f>
        <v>0.12968712300500007</v>
      </c>
    </row>
    <row r="13" spans="1:12" x14ac:dyDescent="0.25">
      <c r="A13" s="10">
        <f t="shared" ref="A13:A22" si="1">A12-1</f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>
        <f>$B$4 *J14</f>
        <v>0.11789738455000007</v>
      </c>
      <c r="L13" s="10">
        <f>$B$5*K13</f>
        <v>0.10610764609500006</v>
      </c>
    </row>
    <row r="14" spans="1:12" x14ac:dyDescent="0.25">
      <c r="A14" s="10">
        <f t="shared" si="1"/>
        <v>8</v>
      </c>
      <c r="B14" s="10"/>
      <c r="C14" s="10"/>
      <c r="D14" s="10"/>
      <c r="E14" s="10"/>
      <c r="F14" s="10"/>
      <c r="G14" s="10"/>
      <c r="H14" s="10"/>
      <c r="I14" s="10"/>
      <c r="J14" s="10">
        <f>$B$4 *I15</f>
        <v>0.10717944050000006</v>
      </c>
      <c r="K14" s="10">
        <f t="shared" ref="K14:L14" si="2">$B$5*J14</f>
        <v>9.6461496450000059E-2</v>
      </c>
      <c r="L14" s="10">
        <f t="shared" si="2"/>
        <v>8.6815346805000054E-2</v>
      </c>
    </row>
    <row r="15" spans="1:12" x14ac:dyDescent="0.25">
      <c r="A15" s="10">
        <f t="shared" si="1"/>
        <v>7</v>
      </c>
      <c r="B15" s="10"/>
      <c r="C15" s="10"/>
      <c r="D15" s="10"/>
      <c r="E15" s="10"/>
      <c r="F15" s="10"/>
      <c r="G15" s="10"/>
      <c r="H15" s="10"/>
      <c r="I15" s="10">
        <f>$B$4 *H16</f>
        <v>9.7435855000000043E-2</v>
      </c>
      <c r="J15" s="10">
        <f t="shared" ref="J15:L15" si="3">$B$5*I15</f>
        <v>8.7692269500000045E-2</v>
      </c>
      <c r="K15" s="10">
        <f t="shared" si="3"/>
        <v>7.8923042550000044E-2</v>
      </c>
      <c r="L15" s="10">
        <f t="shared" si="3"/>
        <v>7.1030738295000048E-2</v>
      </c>
    </row>
    <row r="16" spans="1:12" x14ac:dyDescent="0.25">
      <c r="A16" s="10">
        <f t="shared" si="1"/>
        <v>6</v>
      </c>
      <c r="B16" s="10"/>
      <c r="C16" s="10"/>
      <c r="D16" s="10"/>
      <c r="E16" s="10"/>
      <c r="F16" s="10"/>
      <c r="G16" s="10"/>
      <c r="H16" s="10">
        <f>$B$4 *G17</f>
        <v>8.8578050000000033E-2</v>
      </c>
      <c r="I16" s="10">
        <f t="shared" ref="I16:L16" si="4">$B$5*H16</f>
        <v>7.9720245000000037E-2</v>
      </c>
      <c r="J16" s="10">
        <f t="shared" si="4"/>
        <v>7.1748220500000029E-2</v>
      </c>
      <c r="K16" s="10">
        <f t="shared" si="4"/>
        <v>6.4573398450000027E-2</v>
      </c>
      <c r="L16" s="10">
        <f t="shared" si="4"/>
        <v>5.8116058605000027E-2</v>
      </c>
    </row>
    <row r="17" spans="1:12" x14ac:dyDescent="0.25">
      <c r="A17" s="10">
        <f t="shared" si="1"/>
        <v>5</v>
      </c>
      <c r="B17" s="10"/>
      <c r="C17" s="10"/>
      <c r="D17" s="10"/>
      <c r="E17" s="10"/>
      <c r="F17" s="10"/>
      <c r="G17" s="10">
        <f>$B$4*F18</f>
        <v>8.0525500000000028E-2</v>
      </c>
      <c r="H17" s="10">
        <f t="shared" ref="H17:L17" si="5">$B$5*G17</f>
        <v>7.2472950000000022E-2</v>
      </c>
      <c r="I17" s="10">
        <f t="shared" si="5"/>
        <v>6.5225655000000021E-2</v>
      </c>
      <c r="J17" s="10">
        <f t="shared" si="5"/>
        <v>5.8703089500000021E-2</v>
      </c>
      <c r="K17" s="10">
        <f t="shared" si="5"/>
        <v>5.2832780550000021E-2</v>
      </c>
      <c r="L17" s="10">
        <f t="shared" si="5"/>
        <v>4.7549502495000021E-2</v>
      </c>
    </row>
    <row r="18" spans="1:12" x14ac:dyDescent="0.25">
      <c r="A18" s="10">
        <f t="shared" si="1"/>
        <v>4</v>
      </c>
      <c r="B18" s="10"/>
      <c r="C18" s="10"/>
      <c r="D18" s="10"/>
      <c r="E18" s="10"/>
      <c r="F18" s="10">
        <f>$B$4 *E19</f>
        <v>7.320500000000002E-2</v>
      </c>
      <c r="G18" s="10">
        <f t="shared" ref="G18:L18" si="6">F18*$B$5</f>
        <v>6.5884500000000026E-2</v>
      </c>
      <c r="H18" s="10">
        <f t="shared" si="6"/>
        <v>5.9296050000000024E-2</v>
      </c>
      <c r="I18" s="10">
        <f t="shared" si="6"/>
        <v>5.3366445000000019E-2</v>
      </c>
      <c r="J18" s="10">
        <f t="shared" si="6"/>
        <v>4.8029800500000018E-2</v>
      </c>
      <c r="K18" s="10">
        <f t="shared" si="6"/>
        <v>4.3226820450000016E-2</v>
      </c>
      <c r="L18" s="10">
        <f t="shared" si="6"/>
        <v>3.8904138405000017E-2</v>
      </c>
    </row>
    <row r="19" spans="1:12" x14ac:dyDescent="0.25">
      <c r="A19" s="10">
        <f t="shared" si="1"/>
        <v>3</v>
      </c>
      <c r="B19" s="10"/>
      <c r="C19" s="10"/>
      <c r="D19" s="10"/>
      <c r="E19" s="10">
        <f>$B$4 * D20</f>
        <v>6.6550000000000012E-2</v>
      </c>
      <c r="F19" s="10">
        <f t="shared" ref="F19:L19" si="7">E19*$B$5</f>
        <v>5.9895000000000011E-2</v>
      </c>
      <c r="G19" s="10">
        <f t="shared" si="7"/>
        <v>5.3905500000000009E-2</v>
      </c>
      <c r="H19" s="10">
        <f t="shared" si="7"/>
        <v>4.8514950000000008E-2</v>
      </c>
      <c r="I19" s="10">
        <f t="shared" si="7"/>
        <v>4.3663455000000011E-2</v>
      </c>
      <c r="J19" s="10">
        <f t="shared" si="7"/>
        <v>3.929710950000001E-2</v>
      </c>
      <c r="K19" s="10">
        <f t="shared" si="7"/>
        <v>3.5367398550000012E-2</v>
      </c>
      <c r="L19" s="10">
        <f t="shared" si="7"/>
        <v>3.1830658695000014E-2</v>
      </c>
    </row>
    <row r="20" spans="1:12" x14ac:dyDescent="0.25">
      <c r="A20" s="10">
        <f t="shared" si="1"/>
        <v>2</v>
      </c>
      <c r="B20" s="10"/>
      <c r="C20" s="10"/>
      <c r="D20" s="10">
        <f>C21*$B$4</f>
        <v>6.0500000000000012E-2</v>
      </c>
      <c r="E20" s="10">
        <f t="shared" ref="E20:L20" si="8">D20*$B$5</f>
        <v>5.4450000000000012E-2</v>
      </c>
      <c r="F20" s="10">
        <f t="shared" si="8"/>
        <v>4.9005000000000014E-2</v>
      </c>
      <c r="G20" s="10">
        <f t="shared" si="8"/>
        <v>4.4104500000000012E-2</v>
      </c>
      <c r="H20" s="10">
        <f t="shared" si="8"/>
        <v>3.9694050000000008E-2</v>
      </c>
      <c r="I20" s="10">
        <f t="shared" si="8"/>
        <v>3.5724645000000006E-2</v>
      </c>
      <c r="J20" s="10">
        <f t="shared" si="8"/>
        <v>3.2152180500000009E-2</v>
      </c>
      <c r="K20" s="10">
        <f t="shared" si="8"/>
        <v>2.893696245000001E-2</v>
      </c>
      <c r="L20" s="10">
        <f t="shared" si="8"/>
        <v>2.6043266205000009E-2</v>
      </c>
    </row>
    <row r="21" spans="1:12" x14ac:dyDescent="0.25">
      <c r="A21" s="10">
        <f t="shared" si="1"/>
        <v>1</v>
      </c>
      <c r="B21" s="10"/>
      <c r="C21" s="10">
        <f>B22*$B$4</f>
        <v>5.5000000000000007E-2</v>
      </c>
      <c r="D21" s="10">
        <f t="shared" ref="D21:L21" si="9">C21*$B$5</f>
        <v>4.9500000000000009E-2</v>
      </c>
      <c r="E21" s="10">
        <f t="shared" si="9"/>
        <v>4.4550000000000006E-2</v>
      </c>
      <c r="F21" s="10">
        <f t="shared" si="9"/>
        <v>4.0095000000000006E-2</v>
      </c>
      <c r="G21" s="10">
        <f t="shared" si="9"/>
        <v>3.6085500000000006E-2</v>
      </c>
      <c r="H21" s="10">
        <f t="shared" si="9"/>
        <v>3.2476950000000004E-2</v>
      </c>
      <c r="I21" s="10">
        <f t="shared" si="9"/>
        <v>2.9229255000000006E-2</v>
      </c>
      <c r="J21" s="10">
        <f t="shared" si="9"/>
        <v>2.6306329500000006E-2</v>
      </c>
      <c r="K21" s="10">
        <f t="shared" si="9"/>
        <v>2.3675696550000007E-2</v>
      </c>
      <c r="L21" s="10">
        <f t="shared" si="9"/>
        <v>2.1308126895000008E-2</v>
      </c>
    </row>
    <row r="22" spans="1:12" x14ac:dyDescent="0.25">
      <c r="A22" s="10">
        <f t="shared" si="1"/>
        <v>0</v>
      </c>
      <c r="B22" s="44">
        <f>$B$3</f>
        <v>0.05</v>
      </c>
      <c r="C22" s="10">
        <f t="shared" ref="C22:L22" si="10">$B$5*B22</f>
        <v>4.5000000000000005E-2</v>
      </c>
      <c r="D22" s="10">
        <f t="shared" si="10"/>
        <v>4.0500000000000008E-2</v>
      </c>
      <c r="E22" s="10">
        <f t="shared" si="10"/>
        <v>3.645000000000001E-2</v>
      </c>
      <c r="F22" s="10">
        <f t="shared" si="10"/>
        <v>3.2805000000000008E-2</v>
      </c>
      <c r="G22" s="10">
        <f t="shared" si="10"/>
        <v>2.9524500000000009E-2</v>
      </c>
      <c r="H22" s="10">
        <f t="shared" si="10"/>
        <v>2.657205000000001E-2</v>
      </c>
      <c r="I22" s="10">
        <f t="shared" si="10"/>
        <v>2.3914845000000011E-2</v>
      </c>
      <c r="J22" s="10">
        <f t="shared" si="10"/>
        <v>2.1523360500000012E-2</v>
      </c>
      <c r="K22" s="10">
        <f t="shared" si="10"/>
        <v>1.937102445000001E-2</v>
      </c>
      <c r="L22" s="10">
        <f t="shared" si="10"/>
        <v>1.7433922005000008E-2</v>
      </c>
    </row>
    <row r="24" spans="1:12" x14ac:dyDescent="0.25">
      <c r="A24" s="56" t="s">
        <v>43</v>
      </c>
    </row>
    <row r="25" spans="1:12" x14ac:dyDescent="0.25">
      <c r="B25">
        <f>0</f>
        <v>0</v>
      </c>
      <c r="C25">
        <f>B25+1</f>
        <v>1</v>
      </c>
      <c r="D25">
        <f t="shared" ref="D25:L25" si="11">C25+1</f>
        <v>2</v>
      </c>
      <c r="E25">
        <f t="shared" si="11"/>
        <v>3</v>
      </c>
      <c r="F25">
        <f t="shared" si="11"/>
        <v>4</v>
      </c>
      <c r="G25">
        <f t="shared" si="11"/>
        <v>5</v>
      </c>
      <c r="H25">
        <f t="shared" si="11"/>
        <v>6</v>
      </c>
      <c r="I25">
        <f t="shared" si="11"/>
        <v>7</v>
      </c>
      <c r="J25">
        <f t="shared" si="11"/>
        <v>8</v>
      </c>
      <c r="K25">
        <f t="shared" si="11"/>
        <v>9</v>
      </c>
      <c r="L25">
        <f t="shared" si="11"/>
        <v>10</v>
      </c>
    </row>
    <row r="26" spans="1:12" x14ac:dyDescent="0.25">
      <c r="A26">
        <f>10</f>
        <v>10</v>
      </c>
      <c r="L26">
        <f>$E$1*$E$2^($A26-L$25/2)</f>
        <v>1.0510100501E-2</v>
      </c>
    </row>
    <row r="27" spans="1:12" x14ac:dyDescent="0.25">
      <c r="A27">
        <f>A26-1</f>
        <v>9</v>
      </c>
      <c r="K27">
        <f t="shared" ref="D27:L36" si="12">$E$1*$E$2^($A27-K$25/2)</f>
        <v>1.045794087133964E-2</v>
      </c>
      <c r="L27">
        <f>$E$1*$E$2^($A27-L$25/2)</f>
        <v>1.04060401E-2</v>
      </c>
    </row>
    <row r="28" spans="1:12" x14ac:dyDescent="0.25">
      <c r="A28">
        <f t="shared" ref="A28:A36" si="13">A27-1</f>
        <v>8</v>
      </c>
      <c r="J28">
        <f t="shared" si="12"/>
        <v>1.04060401E-2</v>
      </c>
      <c r="K28">
        <f t="shared" si="12"/>
        <v>1.0354396902316473E-2</v>
      </c>
      <c r="L28">
        <f t="shared" si="12"/>
        <v>1.030301E-2</v>
      </c>
    </row>
    <row r="29" spans="1:12" x14ac:dyDescent="0.25">
      <c r="A29">
        <f t="shared" si="13"/>
        <v>7</v>
      </c>
      <c r="I29">
        <f t="shared" si="12"/>
        <v>1.0354396902316473E-2</v>
      </c>
      <c r="J29">
        <f t="shared" si="12"/>
        <v>1.030301E-2</v>
      </c>
      <c r="K29">
        <f t="shared" si="12"/>
        <v>1.025187812110542E-2</v>
      </c>
      <c r="L29">
        <f t="shared" si="12"/>
        <v>1.0201E-2</v>
      </c>
    </row>
    <row r="30" spans="1:12" x14ac:dyDescent="0.25">
      <c r="A30">
        <f t="shared" si="13"/>
        <v>6</v>
      </c>
      <c r="H30">
        <f t="shared" si="12"/>
        <v>1.030301E-2</v>
      </c>
      <c r="I30">
        <f t="shared" si="12"/>
        <v>1.025187812110542E-2</v>
      </c>
      <c r="J30">
        <f t="shared" si="12"/>
        <v>1.0201E-2</v>
      </c>
      <c r="K30">
        <f t="shared" si="12"/>
        <v>1.0150374377332098E-2</v>
      </c>
      <c r="L30">
        <f t="shared" si="12"/>
        <v>1.01E-2</v>
      </c>
    </row>
    <row r="31" spans="1:12" x14ac:dyDescent="0.25">
      <c r="A31">
        <f t="shared" si="13"/>
        <v>5</v>
      </c>
      <c r="G31">
        <f>$E$1*$E$2^($A31-G$25/2)</f>
        <v>1.025187812110542E-2</v>
      </c>
      <c r="H31">
        <f t="shared" si="12"/>
        <v>1.0201E-2</v>
      </c>
      <c r="I31">
        <f t="shared" si="12"/>
        <v>1.0150374377332098E-2</v>
      </c>
      <c r="J31">
        <f t="shared" si="12"/>
        <v>1.01E-2</v>
      </c>
      <c r="K31">
        <f t="shared" si="12"/>
        <v>1.0049875621120889E-2</v>
      </c>
      <c r="L31">
        <f t="shared" si="12"/>
        <v>0.01</v>
      </c>
    </row>
    <row r="32" spans="1:12" x14ac:dyDescent="0.25">
      <c r="A32">
        <f t="shared" si="13"/>
        <v>4</v>
      </c>
      <c r="F32">
        <f t="shared" si="12"/>
        <v>1.0201E-2</v>
      </c>
      <c r="G32">
        <f t="shared" si="12"/>
        <v>1.0150374377332098E-2</v>
      </c>
      <c r="H32">
        <f t="shared" si="12"/>
        <v>1.01E-2</v>
      </c>
      <c r="I32">
        <f t="shared" si="12"/>
        <v>1.0049875621120889E-2</v>
      </c>
      <c r="J32">
        <f t="shared" si="12"/>
        <v>0.01</v>
      </c>
      <c r="K32">
        <f t="shared" si="12"/>
        <v>9.9503719020998926E-3</v>
      </c>
      <c r="L32">
        <f t="shared" si="12"/>
        <v>9.9009900990099011E-3</v>
      </c>
    </row>
    <row r="33" spans="1:12" x14ac:dyDescent="0.25">
      <c r="A33">
        <f t="shared" si="13"/>
        <v>3</v>
      </c>
      <c r="E33">
        <f t="shared" si="12"/>
        <v>1.0150374377332098E-2</v>
      </c>
      <c r="F33">
        <f t="shared" si="12"/>
        <v>1.01E-2</v>
      </c>
      <c r="G33">
        <f t="shared" si="12"/>
        <v>1.0049875621120889E-2</v>
      </c>
      <c r="H33">
        <f t="shared" si="12"/>
        <v>0.01</v>
      </c>
      <c r="I33">
        <f t="shared" si="12"/>
        <v>9.9503719020998926E-3</v>
      </c>
      <c r="J33">
        <f t="shared" si="12"/>
        <v>9.9009900990099011E-3</v>
      </c>
      <c r="K33">
        <f t="shared" si="12"/>
        <v>9.8518533684157344E-3</v>
      </c>
      <c r="L33">
        <f t="shared" si="12"/>
        <v>9.8029604940692086E-3</v>
      </c>
    </row>
    <row r="34" spans="1:12" x14ac:dyDescent="0.25">
      <c r="A34">
        <f t="shared" si="13"/>
        <v>2</v>
      </c>
      <c r="D34">
        <f t="shared" si="12"/>
        <v>1.01E-2</v>
      </c>
      <c r="E34">
        <f t="shared" si="12"/>
        <v>1.0049875621120889E-2</v>
      </c>
      <c r="F34">
        <f t="shared" si="12"/>
        <v>0.01</v>
      </c>
      <c r="G34">
        <f t="shared" si="12"/>
        <v>9.9503719020998926E-3</v>
      </c>
      <c r="H34">
        <f t="shared" si="12"/>
        <v>9.9009900990099011E-3</v>
      </c>
      <c r="I34">
        <f t="shared" si="12"/>
        <v>9.8518533684157344E-3</v>
      </c>
      <c r="J34">
        <f t="shared" si="12"/>
        <v>9.8029604940692086E-3</v>
      </c>
      <c r="K34">
        <f t="shared" si="12"/>
        <v>9.754310265758152E-3</v>
      </c>
      <c r="L34">
        <f t="shared" si="12"/>
        <v>9.7059014792764461E-3</v>
      </c>
    </row>
    <row r="35" spans="1:12" x14ac:dyDescent="0.25">
      <c r="A35">
        <f t="shared" si="13"/>
        <v>1</v>
      </c>
      <c r="C35">
        <f>$E$1*$E$2^($A35-C$25/2)</f>
        <v>1.0049875621120889E-2</v>
      </c>
      <c r="D35">
        <f t="shared" si="12"/>
        <v>0.01</v>
      </c>
      <c r="E35">
        <f t="shared" si="12"/>
        <v>9.9503719020998926E-3</v>
      </c>
      <c r="F35">
        <f t="shared" si="12"/>
        <v>9.9009900990099011E-3</v>
      </c>
      <c r="G35">
        <f t="shared" si="12"/>
        <v>9.8518533684157344E-3</v>
      </c>
      <c r="H35">
        <f t="shared" si="12"/>
        <v>9.8029604940692086E-3</v>
      </c>
      <c r="I35">
        <f t="shared" si="12"/>
        <v>9.754310265758152E-3</v>
      </c>
      <c r="J35">
        <f t="shared" si="12"/>
        <v>9.7059014792764461E-3</v>
      </c>
      <c r="K35">
        <f t="shared" si="12"/>
        <v>9.6577329363942109E-3</v>
      </c>
      <c r="L35">
        <f t="shared" si="12"/>
        <v>9.6098034448281622E-3</v>
      </c>
    </row>
    <row r="36" spans="1:12" x14ac:dyDescent="0.25">
      <c r="A36">
        <f t="shared" si="13"/>
        <v>0</v>
      </c>
      <c r="B36">
        <f>$E$1*$E$2^($A36-B$25/2)</f>
        <v>0.01</v>
      </c>
      <c r="C36">
        <f>$E$1*$E$2^($A36-C$25/2)</f>
        <v>9.9503719020998926E-3</v>
      </c>
      <c r="D36">
        <f t="shared" si="12"/>
        <v>9.9009900990099011E-3</v>
      </c>
      <c r="E36">
        <f t="shared" si="12"/>
        <v>9.8518533684157344E-3</v>
      </c>
      <c r="F36">
        <f t="shared" si="12"/>
        <v>9.8029604940692086E-3</v>
      </c>
      <c r="G36">
        <f t="shared" si="12"/>
        <v>9.754310265758152E-3</v>
      </c>
      <c r="H36">
        <f t="shared" si="12"/>
        <v>9.7059014792764461E-3</v>
      </c>
      <c r="I36">
        <f t="shared" si="12"/>
        <v>9.6577329363942109E-3</v>
      </c>
      <c r="J36">
        <f t="shared" si="12"/>
        <v>9.6098034448281622E-3</v>
      </c>
      <c r="K36">
        <f t="shared" si="12"/>
        <v>9.56211181821209E-3</v>
      </c>
      <c r="L36">
        <f t="shared" si="12"/>
        <v>9.5146568760674892E-3</v>
      </c>
    </row>
    <row r="38" spans="1:12" x14ac:dyDescent="0.25">
      <c r="A38" s="56" t="s">
        <v>42</v>
      </c>
    </row>
    <row r="39" spans="1:12" x14ac:dyDescent="0.25">
      <c r="B39">
        <f>0</f>
        <v>0</v>
      </c>
      <c r="C39">
        <f>B39+1</f>
        <v>1</v>
      </c>
      <c r="D39">
        <f t="shared" ref="D39:L39" si="14">C39+1</f>
        <v>2</v>
      </c>
      <c r="E39">
        <f t="shared" si="14"/>
        <v>3</v>
      </c>
      <c r="F39">
        <f t="shared" si="14"/>
        <v>4</v>
      </c>
      <c r="G39">
        <f t="shared" si="14"/>
        <v>5</v>
      </c>
      <c r="H39">
        <f t="shared" si="14"/>
        <v>6</v>
      </c>
      <c r="I39">
        <f t="shared" si="14"/>
        <v>7</v>
      </c>
      <c r="J39">
        <f t="shared" si="14"/>
        <v>8</v>
      </c>
      <c r="K39">
        <f t="shared" si="14"/>
        <v>9</v>
      </c>
      <c r="L39">
        <f t="shared" si="14"/>
        <v>10</v>
      </c>
    </row>
    <row r="40" spans="1:12" x14ac:dyDescent="0.25">
      <c r="A40">
        <f>10</f>
        <v>10</v>
      </c>
      <c r="L40">
        <f>$E$3</f>
        <v>100</v>
      </c>
    </row>
    <row r="41" spans="1:12" x14ac:dyDescent="0.25">
      <c r="A41">
        <f>A40-1</f>
        <v>9</v>
      </c>
      <c r="K41">
        <f>(1/(1+K13)) * ($B$6*(1-K27)*L40 + $B$7*(1-K27)*L41)  + (1/(1+K13)) *($B$6*K27*$E$4 + $B$7*K27*$E$4)</f>
        <v>88.705247995736372</v>
      </c>
      <c r="L41">
        <f t="shared" ref="L41:L50" si="15">$E$3</f>
        <v>100</v>
      </c>
    </row>
    <row r="42" spans="1:12" x14ac:dyDescent="0.25">
      <c r="A42">
        <f t="shared" ref="A42:A50" si="16">A41-1</f>
        <v>8</v>
      </c>
      <c r="J42">
        <f t="shared" ref="J42" si="17">(1/(1+J14)) * ($B$6*(1-J28)*K41 + $B$7*(1-J28)*K42)  + (1/(1+J14)) *($B$6*J28*$E$4 + $B$7*J28*$E$4)</f>
        <v>80.250866915227761</v>
      </c>
      <c r="K42">
        <f>(1/(1+K14)) * ($B$6*(1-K28)*L41 + $B$7*(1-K28)*L42)  + (1/(1+K14)) *($B$6*K28*$E$4 + $B$7*K28*$E$4)</f>
        <v>90.446995693785425</v>
      </c>
      <c r="L42">
        <f t="shared" si="15"/>
        <v>100</v>
      </c>
    </row>
    <row r="43" spans="1:12" x14ac:dyDescent="0.25">
      <c r="A43">
        <f t="shared" si="16"/>
        <v>7</v>
      </c>
      <c r="I43">
        <f t="shared" ref="I43:J43" si="18">(1/(1+I15)) * ($B$6*(1-I29)*J42 + $B$7*(1-I29)*J43)  + (1/(1+I15)) *($B$6*I29*$E$4 + $B$7*I29*$E$4)</f>
        <v>73.869023719304209</v>
      </c>
      <c r="J43">
        <f t="shared" si="18"/>
        <v>83.160008679562907</v>
      </c>
      <c r="K43">
        <f>(1/(1+K15)) * ($B$6*(1-K29)*L42 + $B$7*(1-K29)*L43)  + (1/(1+K15)) *($B$6*K29*$E$4 + $B$7*K29*$E$4)</f>
        <v>91.924860104853423</v>
      </c>
      <c r="L43">
        <f t="shared" si="15"/>
        <v>100</v>
      </c>
    </row>
    <row r="44" spans="1:12" x14ac:dyDescent="0.25">
      <c r="A44">
        <f t="shared" si="16"/>
        <v>6</v>
      </c>
      <c r="H44">
        <f t="shared" ref="H44:J44" si="19">(1/(1+H16)) * ($B$6*(1-H30)*I43 + $B$7*(1-H30)*I44)  + (1/(1+H16)) *($B$6*H30*$E$4 + $B$7*H30*$E$4)</f>
        <v>69.029468715072952</v>
      </c>
      <c r="I44">
        <f t="shared" si="19"/>
        <v>77.567031969599356</v>
      </c>
      <c r="J44">
        <f t="shared" si="19"/>
        <v>85.662048878105651</v>
      </c>
      <c r="K44">
        <f t="shared" ref="K44:K50" si="20">(1/(1+K16)) * ($B$6*(1-K30)*L43 + $B$7*(1-K30)*L44)  + (1/(1+K16)) *($B$6*K30*$E$4 + $B$7*K30*$E$4)</f>
        <v>93.171565431025556</v>
      </c>
      <c r="L44">
        <f t="shared" si="15"/>
        <v>100</v>
      </c>
    </row>
    <row r="45" spans="1:12" x14ac:dyDescent="0.25">
      <c r="A45">
        <f t="shared" si="16"/>
        <v>5</v>
      </c>
      <c r="G45">
        <f t="shared" ref="G45:J45" si="21">(1/(1+G17)) * ($B$6*(1-G31)*H44 + $B$7*(1-G31)*H45)  + (1/(1+G17)) *($B$6*G31*$E$4 + $B$7*G31*$E$4)</f>
        <v>65.358295749239772</v>
      </c>
      <c r="H45">
        <f t="shared" si="21"/>
        <v>73.261819491663729</v>
      </c>
      <c r="I45">
        <f t="shared" si="21"/>
        <v>80.782894980401807</v>
      </c>
      <c r="J45">
        <f t="shared" si="21"/>
        <v>87.796631124413963</v>
      </c>
      <c r="K45">
        <f t="shared" si="20"/>
        <v>94.218200442515027</v>
      </c>
      <c r="L45">
        <f t="shared" si="15"/>
        <v>100</v>
      </c>
    </row>
    <row r="46" spans="1:12" x14ac:dyDescent="0.25">
      <c r="A46">
        <f t="shared" si="16"/>
        <v>4</v>
      </c>
      <c r="F46">
        <f t="shared" ref="F46:J46" si="22">(1/(1+F18)) * ($B$6*(1-F32)*G45 + $B$7*(1-F32)*G46)  + (1/(1+F18)) *($B$6*F32*$E$4 + $B$7*F32*$E$4)</f>
        <v>62.58655393372505</v>
      </c>
      <c r="G46">
        <f t="shared" si="22"/>
        <v>69.950353005595076</v>
      </c>
      <c r="H46">
        <f t="shared" si="22"/>
        <v>76.975120798881335</v>
      </c>
      <c r="I46">
        <f t="shared" si="22"/>
        <v>83.551767936110636</v>
      </c>
      <c r="J46">
        <f t="shared" si="22"/>
        <v>89.605500739547381</v>
      </c>
      <c r="K46">
        <f t="shared" si="20"/>
        <v>95.093385544900002</v>
      </c>
      <c r="L46">
        <f t="shared" si="15"/>
        <v>100</v>
      </c>
    </row>
    <row r="47" spans="1:12" x14ac:dyDescent="0.25">
      <c r="A47">
        <f t="shared" si="16"/>
        <v>3</v>
      </c>
      <c r="E47">
        <f t="shared" ref="E47:J47" si="23">(1/(1+E19)) * ($B$6*(1-E33)*F46 + $B$7*(1-E33)*F47)  + (1/(1+E19)) *($B$6*E33*$E$4 + $B$7*E33*$E$4)</f>
        <v>60.517073647248786</v>
      </c>
      <c r="F47">
        <f t="shared" si="23"/>
        <v>67.415975229131107</v>
      </c>
      <c r="G47">
        <f t="shared" si="23"/>
        <v>74.007329720902376</v>
      </c>
      <c r="H47">
        <f t="shared" si="23"/>
        <v>80.195897022973384</v>
      </c>
      <c r="I47">
        <f t="shared" si="23"/>
        <v>85.916104704794563</v>
      </c>
      <c r="J47">
        <f t="shared" si="23"/>
        <v>91.129865850497211</v>
      </c>
      <c r="K47">
        <f t="shared" si="20"/>
        <v>95.822846913539919</v>
      </c>
      <c r="L47">
        <f t="shared" si="15"/>
        <v>100</v>
      </c>
    </row>
    <row r="48" spans="1:12" x14ac:dyDescent="0.25">
      <c r="A48">
        <f t="shared" si="16"/>
        <v>2</v>
      </c>
      <c r="D48">
        <f t="shared" ref="D48:J48" si="24">(1/(1+D20)) * ($B$6*(1-D34)*E47 + $B$7*(1-D34)*E48)  + (1/(1+D20)) *($B$6*D34*$E$4 + $B$7*D34*$E$4)</f>
        <v>59.002642014345383</v>
      </c>
      <c r="E48">
        <f t="shared" si="24"/>
        <v>65.496264783326595</v>
      </c>
      <c r="F48">
        <f t="shared" si="24"/>
        <v>71.705253593506512</v>
      </c>
      <c r="G48">
        <f t="shared" si="24"/>
        <v>77.546548149514379</v>
      </c>
      <c r="H48">
        <f t="shared" si="24"/>
        <v>82.962979364879729</v>
      </c>
      <c r="I48">
        <f t="shared" si="24"/>
        <v>87.921249647400657</v>
      </c>
      <c r="J48">
        <f t="shared" si="24"/>
        <v>92.408664864849058</v>
      </c>
      <c r="K48">
        <f t="shared" si="20"/>
        <v>96.42928459143657</v>
      </c>
      <c r="L48">
        <f t="shared" si="15"/>
        <v>100</v>
      </c>
    </row>
    <row r="49" spans="1:12" x14ac:dyDescent="0.25">
      <c r="A49">
        <f>A48-1</f>
        <v>1</v>
      </c>
      <c r="C49">
        <f t="shared" ref="C49:J49" si="25">(1/(1+C21)) * ($B$6*(1-C35)*D48 + $B$7*(1-C35)*D49)  + (1/(1+C21)) *($B$6*C35*$E$4 + $B$7*C35*$E$4)</f>
        <v>57.931391452359428</v>
      </c>
      <c r="D49">
        <f t="shared" si="25"/>
        <v>64.067437921323048</v>
      </c>
      <c r="E49">
        <f t="shared" si="25"/>
        <v>69.935606122589675</v>
      </c>
      <c r="F49">
        <f t="shared" si="25"/>
        <v>75.463591017392403</v>
      </c>
      <c r="G49">
        <f t="shared" si="25"/>
        <v>80.601845322939781</v>
      </c>
      <c r="H49">
        <f t="shared" si="25"/>
        <v>85.321668600980217</v>
      </c>
      <c r="I49">
        <f t="shared" si="25"/>
        <v>89.612298625024735</v>
      </c>
      <c r="J49">
        <f t="shared" si="25"/>
        <v>93.47755327573573</v>
      </c>
      <c r="K49">
        <f t="shared" si="20"/>
        <v>96.932438368426034</v>
      </c>
      <c r="L49">
        <f t="shared" si="15"/>
        <v>100</v>
      </c>
    </row>
    <row r="50" spans="1:12" x14ac:dyDescent="0.25">
      <c r="A50">
        <f t="shared" si="16"/>
        <v>0</v>
      </c>
      <c r="B50" s="81">
        <f t="shared" ref="B50:J50" si="26">(1/(1+B22)) * ($B$6*(1-B36)*C49 + $B$7*(1-B36)*C50)  + (1/(1+B22)) *($B$6*B36*$E$4 + $B$7*B36*$E$4)</f>
        <v>57.216858239429008</v>
      </c>
      <c r="C50">
        <f t="shared" si="26"/>
        <v>63.033661378752626</v>
      </c>
      <c r="D50">
        <f t="shared" si="26"/>
        <v>68.594939476713122</v>
      </c>
      <c r="E50">
        <f t="shared" si="26"/>
        <v>73.837923618960744</v>
      </c>
      <c r="F50">
        <f t="shared" si="26"/>
        <v>78.71996045857756</v>
      </c>
      <c r="G50">
        <f t="shared" si="26"/>
        <v>83.21668031516684</v>
      </c>
      <c r="H50">
        <f t="shared" si="26"/>
        <v>87.319375685225566</v>
      </c>
      <c r="I50">
        <f t="shared" si="26"/>
        <v>91.032042497330906</v>
      </c>
      <c r="J50">
        <f t="shared" si="26"/>
        <v>94.368423046682608</v>
      </c>
      <c r="K50">
        <f t="shared" si="20"/>
        <v>97.349275851827485</v>
      </c>
      <c r="L50">
        <f t="shared" si="15"/>
        <v>100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selection activeCell="A13" sqref="A13"/>
    </sheetView>
  </sheetViews>
  <sheetFormatPr baseColWidth="10" defaultColWidth="8.85546875" defaultRowHeight="15" x14ac:dyDescent="0.25"/>
  <cols>
    <col min="1" max="1" width="12" style="7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12.5703125" style="1" bestFit="1" customWidth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6" t="s">
        <v>0</v>
      </c>
      <c r="F2" s="1">
        <v>0.05</v>
      </c>
    </row>
    <row r="3" spans="1:36" s="2" customFormat="1" ht="60" x14ac:dyDescent="0.25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58">
        <v>1.76464840516442E-2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7">
        <v>2.4964829920183829E-2</v>
      </c>
      <c r="B7">
        <v>6</v>
      </c>
      <c r="C7" s="1">
        <f>C6*(1-A6)</f>
        <v>0.98235351594835585</v>
      </c>
      <c r="D7" s="1">
        <f t="shared" ref="D7:D16" si="0">C6*A6</f>
        <v>1.76464840516442E-2</v>
      </c>
      <c r="E7" s="1">
        <f>1/(1+rf/2)^(B7/6)</f>
        <v>0.97560975609756106</v>
      </c>
      <c r="H7">
        <v>5</v>
      </c>
      <c r="I7">
        <v>10</v>
      </c>
      <c r="J7" s="1">
        <f>$E7*(H7*$C7+I7*$D7)</f>
        <v>4.964129190495826</v>
      </c>
      <c r="N7">
        <v>2</v>
      </c>
      <c r="O7">
        <v>25</v>
      </c>
      <c r="P7" s="1">
        <f>$E7*(N7*$C7+O7*$D7)</f>
        <v>2.3471893982320164</v>
      </c>
      <c r="T7">
        <v>5</v>
      </c>
      <c r="U7">
        <v>50</v>
      </c>
      <c r="V7" s="1">
        <f t="shared" ref="V7:V12" si="1">$E7*(T7*$C7+U7*$D7)</f>
        <v>5.6527724705599907</v>
      </c>
      <c r="Z7">
        <v>5</v>
      </c>
      <c r="AA7">
        <v>10</v>
      </c>
      <c r="AB7" s="1">
        <f t="shared" ref="AB7:AB14" si="2">$E7*(Z7*$C7+AA7*$D7)</f>
        <v>4.964129190495826</v>
      </c>
      <c r="AF7">
        <v>10</v>
      </c>
      <c r="AG7">
        <v>20</v>
      </c>
      <c r="AH7" s="1">
        <f t="shared" ref="AH7:AH16" si="3">$E7*(AF7*$C7+AG7*$D7)</f>
        <v>9.928258380991652</v>
      </c>
    </row>
    <row r="8" spans="1:36" x14ac:dyDescent="0.25">
      <c r="A8" s="7">
        <v>2.4991526205603725E-2</v>
      </c>
      <c r="B8">
        <v>12</v>
      </c>
      <c r="C8" s="1">
        <f t="shared" ref="C8:C16" si="4">C7*(1-A7)</f>
        <v>0.95782922750121058</v>
      </c>
      <c r="D8" s="1">
        <f t="shared" si="0"/>
        <v>2.4524288447145298E-2</v>
      </c>
      <c r="E8" s="1">
        <f t="shared" ref="E7:E15" si="5">1/(1+rf/2)^(B8/6)</f>
        <v>0.95181439619274244</v>
      </c>
      <c r="H8">
        <v>105</v>
      </c>
      <c r="I8">
        <v>10</v>
      </c>
      <c r="J8" s="1">
        <f>$E8*(H8*$C8+I8*$D8)</f>
        <v>95.959368730135452</v>
      </c>
      <c r="N8">
        <v>2</v>
      </c>
      <c r="O8">
        <v>25</v>
      </c>
      <c r="P8" s="1">
        <f>$E8*(N8*$C8+O8*$D8)</f>
        <v>2.4069155656690575</v>
      </c>
      <c r="T8">
        <v>5</v>
      </c>
      <c r="U8">
        <v>50</v>
      </c>
      <c r="V8" s="1">
        <f t="shared" si="1"/>
        <v>5.725506779167941</v>
      </c>
      <c r="Z8">
        <v>5</v>
      </c>
      <c r="AA8">
        <v>10</v>
      </c>
      <c r="AB8" s="1">
        <f t="shared" si="2"/>
        <v>4.791803947152891</v>
      </c>
      <c r="AF8">
        <v>10</v>
      </c>
      <c r="AG8">
        <v>20</v>
      </c>
      <c r="AH8" s="1">
        <f t="shared" si="3"/>
        <v>9.5836078943057821</v>
      </c>
    </row>
    <row r="9" spans="1:36" x14ac:dyDescent="0.25">
      <c r="A9" s="7">
        <v>2.7430204555949866E-2</v>
      </c>
      <c r="B9">
        <v>18</v>
      </c>
      <c r="C9" s="1">
        <f t="shared" si="4"/>
        <v>0.93389161326162085</v>
      </c>
      <c r="D9" s="1">
        <f t="shared" si="0"/>
        <v>2.3937614239589677E-2</v>
      </c>
      <c r="E9" s="1">
        <f t="shared" si="5"/>
        <v>0.92859941091974885</v>
      </c>
      <c r="N9">
        <v>2</v>
      </c>
      <c r="O9">
        <v>25</v>
      </c>
      <c r="P9" s="1">
        <f>$E9*(N9*$C9+O9*$D9)</f>
        <v>2.2901337659179495</v>
      </c>
      <c r="T9">
        <v>5</v>
      </c>
      <c r="U9">
        <v>50</v>
      </c>
      <c r="V9" s="1">
        <f t="shared" si="1"/>
        <v>5.4474787337735338</v>
      </c>
      <c r="Z9">
        <v>5</v>
      </c>
      <c r="AA9">
        <v>10</v>
      </c>
      <c r="AB9" s="1">
        <f t="shared" si="2"/>
        <v>4.5583405545052473</v>
      </c>
      <c r="AF9">
        <v>10</v>
      </c>
      <c r="AG9">
        <v>20</v>
      </c>
      <c r="AH9" s="1">
        <f t="shared" si="3"/>
        <v>9.1166811090104947</v>
      </c>
    </row>
    <row r="10" spans="1:36" x14ac:dyDescent="0.25">
      <c r="A10" s="7">
        <v>2.783583605029908E-2</v>
      </c>
      <c r="B10">
        <v>24</v>
      </c>
      <c r="C10" s="1">
        <f>C9*(1-A9)</f>
        <v>0.90827477527676848</v>
      </c>
      <c r="D10" s="1">
        <f t="shared" si="0"/>
        <v>2.5616837984852283E-2</v>
      </c>
      <c r="E10" s="1">
        <f t="shared" si="5"/>
        <v>0.90595064479975507</v>
      </c>
      <c r="N10">
        <v>102</v>
      </c>
      <c r="O10">
        <v>25</v>
      </c>
      <c r="P10" s="1">
        <f>$E10*(N10*$C10+O10*$D10)</f>
        <v>84.511105840621468</v>
      </c>
      <c r="T10">
        <v>5</v>
      </c>
      <c r="U10">
        <v>50</v>
      </c>
      <c r="V10" s="1">
        <f t="shared" si="1"/>
        <v>5.2746401360920938</v>
      </c>
      <c r="Z10">
        <v>5</v>
      </c>
      <c r="AA10">
        <v>10</v>
      </c>
      <c r="AB10" s="1">
        <f t="shared" si="2"/>
        <v>4.3463365004877828</v>
      </c>
      <c r="AF10">
        <v>10</v>
      </c>
      <c r="AG10">
        <v>20</v>
      </c>
      <c r="AH10" s="1">
        <f t="shared" si="3"/>
        <v>8.6926730009755655</v>
      </c>
    </row>
    <row r="11" spans="1:36" x14ac:dyDescent="0.25">
      <c r="A11" s="7">
        <v>3.4947696275551381E-2</v>
      </c>
      <c r="B11">
        <v>30</v>
      </c>
      <c r="C11" s="1">
        <f t="shared" si="4"/>
        <v>0.88299218754354214</v>
      </c>
      <c r="D11" s="1">
        <f t="shared" si="0"/>
        <v>2.5282587733226367E-2</v>
      </c>
      <c r="E11" s="1">
        <f t="shared" si="5"/>
        <v>0.88385428760951712</v>
      </c>
      <c r="T11">
        <v>5</v>
      </c>
      <c r="U11">
        <v>50</v>
      </c>
      <c r="V11" s="1">
        <f t="shared" si="1"/>
        <v>5.0194883329241282</v>
      </c>
      <c r="Z11">
        <v>5</v>
      </c>
      <c r="AA11">
        <v>10</v>
      </c>
      <c r="AB11" s="1">
        <f t="shared" si="2"/>
        <v>4.125643390129091</v>
      </c>
      <c r="AF11">
        <v>10</v>
      </c>
      <c r="AG11">
        <v>20</v>
      </c>
      <c r="AH11" s="1">
        <f t="shared" si="3"/>
        <v>8.251286780258182</v>
      </c>
    </row>
    <row r="12" spans="1:36" x14ac:dyDescent="0.25">
      <c r="A12" s="7">
        <v>3.4947696275551408E-2</v>
      </c>
      <c r="B12">
        <v>36</v>
      </c>
      <c r="C12" s="1">
        <f t="shared" si="4"/>
        <v>0.85213364475958575</v>
      </c>
      <c r="D12" s="1">
        <f t="shared" si="0"/>
        <v>3.0858542783956413E-2</v>
      </c>
      <c r="E12" s="1">
        <f t="shared" si="5"/>
        <v>0.86229686596050459</v>
      </c>
      <c r="T12">
        <v>105</v>
      </c>
      <c r="U12">
        <v>50</v>
      </c>
      <c r="V12" s="1">
        <f t="shared" si="1"/>
        <v>78.483639218383416</v>
      </c>
      <c r="Z12">
        <v>5</v>
      </c>
      <c r="AA12">
        <v>10</v>
      </c>
      <c r="AB12" s="1">
        <f t="shared" si="2"/>
        <v>3.9400531035856008</v>
      </c>
      <c r="AF12">
        <v>10</v>
      </c>
      <c r="AG12">
        <v>20</v>
      </c>
      <c r="AH12" s="1">
        <f t="shared" si="3"/>
        <v>7.8801062071712016</v>
      </c>
    </row>
    <row r="13" spans="1:36" x14ac:dyDescent="0.25">
      <c r="A13" s="7">
        <v>3.7458527577703252E-2</v>
      </c>
      <c r="B13">
        <v>42</v>
      </c>
      <c r="C13" s="1">
        <f t="shared" si="4"/>
        <v>0.82235353695634916</v>
      </c>
      <c r="D13" s="1">
        <f t="shared" si="0"/>
        <v>2.9780107803236623E-2</v>
      </c>
      <c r="E13" s="1">
        <f t="shared" si="5"/>
        <v>0.84126523508341911</v>
      </c>
      <c r="V13" s="1"/>
      <c r="Z13">
        <v>5</v>
      </c>
      <c r="AA13">
        <v>10</v>
      </c>
      <c r="AB13" s="1">
        <f t="shared" si="2"/>
        <v>3.7096169018653153</v>
      </c>
      <c r="AF13">
        <v>10</v>
      </c>
      <c r="AG13">
        <v>20</v>
      </c>
      <c r="AH13" s="1">
        <f t="shared" si="3"/>
        <v>7.4192338037306307</v>
      </c>
    </row>
    <row r="14" spans="1:36" x14ac:dyDescent="0.25">
      <c r="A14" s="7">
        <v>4.0612135757840791E-2</v>
      </c>
      <c r="B14">
        <v>48</v>
      </c>
      <c r="C14" s="1">
        <f t="shared" si="4"/>
        <v>0.79154938431364796</v>
      </c>
      <c r="D14" s="1">
        <f t="shared" si="0"/>
        <v>3.0804152642701216E-2</v>
      </c>
      <c r="E14" s="1">
        <f t="shared" si="5"/>
        <v>0.82074657081309188</v>
      </c>
      <c r="V14" s="1"/>
      <c r="Z14">
        <v>105</v>
      </c>
      <c r="AA14">
        <v>10</v>
      </c>
      <c r="AB14" s="1">
        <f t="shared" si="2"/>
        <v>68.46727552097029</v>
      </c>
      <c r="AF14">
        <v>10</v>
      </c>
      <c r="AG14">
        <v>20</v>
      </c>
      <c r="AH14" s="1">
        <f t="shared" si="3"/>
        <v>7.0022624810124094</v>
      </c>
    </row>
    <row r="15" spans="1:36" x14ac:dyDescent="0.25">
      <c r="A15" s="7">
        <v>4.2105608027395103E-2</v>
      </c>
      <c r="B15">
        <v>54</v>
      </c>
      <c r="C15" s="1">
        <f t="shared" si="4"/>
        <v>0.7594028732588668</v>
      </c>
      <c r="D15" s="1">
        <f t="shared" si="0"/>
        <v>3.2146511054781161E-2</v>
      </c>
      <c r="E15" s="1">
        <f t="shared" si="5"/>
        <v>0.8007283617688703</v>
      </c>
      <c r="V15" s="1"/>
      <c r="AB15" s="1"/>
      <c r="AF15">
        <v>10</v>
      </c>
      <c r="AG15">
        <v>20</v>
      </c>
      <c r="AH15" s="1">
        <f t="shared" si="3"/>
        <v>6.59556664894105</v>
      </c>
    </row>
    <row r="16" spans="1:36" x14ac:dyDescent="0.25">
      <c r="A16" s="7">
        <v>4.2115562055929645E-2</v>
      </c>
      <c r="B16">
        <v>60</v>
      </c>
      <c r="C16" s="1">
        <f t="shared" si="4"/>
        <v>0.72742775354255129</v>
      </c>
      <c r="D16" s="1">
        <f t="shared" si="0"/>
        <v>3.1975119716315448E-2</v>
      </c>
      <c r="E16" s="1">
        <f>1/(1+rf/2)^(B16/6)</f>
        <v>0.78119840172572708</v>
      </c>
      <c r="V16" s="1"/>
      <c r="AB16" s="1"/>
      <c r="AF16">
        <v>110</v>
      </c>
      <c r="AG16">
        <v>20</v>
      </c>
      <c r="AH16" s="1">
        <f t="shared" si="3"/>
        <v>63.008772076568981</v>
      </c>
    </row>
    <row r="17" spans="1:34" x14ac:dyDescent="0.25">
      <c r="V17" s="1"/>
      <c r="AB17" s="1"/>
    </row>
    <row r="18" spans="1:34" x14ac:dyDescent="0.25">
      <c r="I18" s="5" t="s">
        <v>16</v>
      </c>
      <c r="J18" s="1">
        <f>SUM(J7:J16)</f>
        <v>100.92349792063128</v>
      </c>
      <c r="O18" s="5" t="s">
        <v>16</v>
      </c>
      <c r="P18" s="1">
        <f>SUM(P7:P16)</f>
        <v>91.555344570440496</v>
      </c>
      <c r="U18" s="5" t="s">
        <v>16</v>
      </c>
      <c r="V18" s="1">
        <f>SUM(V7:V16)</f>
        <v>105.60352567090109</v>
      </c>
      <c r="AA18" s="5" t="s">
        <v>16</v>
      </c>
      <c r="AB18" s="1">
        <f>SUM(AB7:AB16)</f>
        <v>98.903199109192045</v>
      </c>
      <c r="AG18" s="5" t="s">
        <v>16</v>
      </c>
      <c r="AH18" s="1">
        <f>SUM(AH7:AH16)</f>
        <v>137.47844838296595</v>
      </c>
    </row>
    <row r="19" spans="1:34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1:34" x14ac:dyDescent="0.25">
      <c r="A20" s="82">
        <f>A6*100</f>
        <v>1.76464840516442</v>
      </c>
      <c r="I20" s="5" t="s">
        <v>14</v>
      </c>
      <c r="J20" s="1">
        <f>(J18-J19)^2</f>
        <v>7.4270324817650327E-18</v>
      </c>
      <c r="O20" s="5" t="s">
        <v>14</v>
      </c>
      <c r="P20" s="1">
        <f>(P18-P19)^2</f>
        <v>2.7811306418261185E-18</v>
      </c>
      <c r="U20" s="5" t="s">
        <v>14</v>
      </c>
      <c r="V20" s="1">
        <f>(V18-V19)^2</f>
        <v>7.6625553007202297E-19</v>
      </c>
      <c r="AA20" s="5" t="s">
        <v>14</v>
      </c>
      <c r="AB20" s="1">
        <f>(AB18-AB19)^2</f>
        <v>1.7328784548711658E-19</v>
      </c>
      <c r="AG20" s="5" t="s">
        <v>14</v>
      </c>
      <c r="AH20" s="1">
        <f>(AH18-AH19)^2</f>
        <v>3.4593957260419111E-18</v>
      </c>
    </row>
    <row r="21" spans="1:34" x14ac:dyDescent="0.25">
      <c r="I21" s="5" t="s">
        <v>13</v>
      </c>
      <c r="J21" s="57">
        <f>J20+P20+V20+AB20+AH20</f>
        <v>1.4607102225192202E-17</v>
      </c>
    </row>
    <row r="23" spans="1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D7" sqref="D7"/>
    </sheetView>
  </sheetViews>
  <sheetFormatPr baseColWidth="10" defaultRowHeight="15" x14ac:dyDescent="0.25"/>
  <sheetData>
    <row r="1" spans="1:16" x14ac:dyDescent="0.25">
      <c r="A1" s="4" t="s">
        <v>46</v>
      </c>
      <c r="B1" s="60">
        <v>218.88953946553033</v>
      </c>
      <c r="G1" s="61"/>
    </row>
    <row r="2" spans="1:16" x14ac:dyDescent="0.25">
      <c r="A2" s="4" t="s">
        <v>47</v>
      </c>
      <c r="B2" s="62">
        <f>10*1000000</f>
        <v>10000000</v>
      </c>
      <c r="G2" s="61"/>
    </row>
    <row r="3" spans="1:16" x14ac:dyDescent="0.25">
      <c r="A3" s="4" t="s">
        <v>11</v>
      </c>
      <c r="B3" s="60">
        <v>0.25</v>
      </c>
      <c r="G3" s="61"/>
    </row>
    <row r="4" spans="1:16" x14ac:dyDescent="0.25">
      <c r="A4" s="4" t="s">
        <v>48</v>
      </c>
      <c r="B4" s="60">
        <v>0.05</v>
      </c>
      <c r="G4" s="61"/>
    </row>
    <row r="5" spans="1:16" ht="75" x14ac:dyDescent="0.25">
      <c r="A5" s="59" t="s">
        <v>49</v>
      </c>
      <c r="B5" s="59" t="s">
        <v>50</v>
      </c>
      <c r="C5" s="63" t="s">
        <v>5</v>
      </c>
      <c r="D5" s="59" t="s">
        <v>51</v>
      </c>
      <c r="E5" s="59" t="s">
        <v>52</v>
      </c>
      <c r="F5" s="59" t="s">
        <v>53</v>
      </c>
      <c r="G5" s="59" t="s">
        <v>54</v>
      </c>
      <c r="H5" s="59" t="s">
        <v>55</v>
      </c>
      <c r="I5" s="59" t="s">
        <v>56</v>
      </c>
      <c r="J5" s="59" t="s">
        <v>57</v>
      </c>
      <c r="K5" s="59" t="s">
        <v>58</v>
      </c>
      <c r="L5" s="59" t="s">
        <v>59</v>
      </c>
      <c r="M5" s="64"/>
    </row>
    <row r="6" spans="1:16" x14ac:dyDescent="0.25">
      <c r="A6">
        <v>0</v>
      </c>
      <c r="B6" s="1">
        <v>1</v>
      </c>
      <c r="C6" s="65">
        <f>'Q4'!$A$6/2</f>
        <v>8.8232420258220999E-3</v>
      </c>
      <c r="D6" s="66">
        <v>100</v>
      </c>
      <c r="E6" s="66"/>
      <c r="F6" s="1"/>
      <c r="G6" s="61"/>
      <c r="H6" s="66"/>
    </row>
    <row r="7" spans="1:16" x14ac:dyDescent="0.25">
      <c r="A7">
        <v>3</v>
      </c>
      <c r="B7" s="1">
        <f>1/(1+$B$4/4)^(A7/3)</f>
        <v>0.98765432098765438</v>
      </c>
      <c r="C7" s="65">
        <f>'Q4'!$A$6/2</f>
        <v>8.8232420258220999E-3</v>
      </c>
      <c r="D7" s="66">
        <f t="shared" ref="D7:D14" si="0">D6*(1-C6)</f>
        <v>99.117675797417789</v>
      </c>
      <c r="E7" s="66">
        <f t="shared" ref="E7:E14" si="1">$B$1/4</f>
        <v>54.722384866382583</v>
      </c>
      <c r="F7" s="1">
        <f t="shared" ref="F7:F14" si="2">E7*D7/100</f>
        <v>54.2395560204763</v>
      </c>
      <c r="G7" s="61">
        <f t="shared" ref="G7:G14" si="3">F7*B7*NC*0.0001</f>
        <v>53569.931872075365</v>
      </c>
      <c r="H7" s="66">
        <f t="shared" ref="H7:H14" si="4">D6*C6</f>
        <v>0.88232420258221</v>
      </c>
      <c r="I7" s="1">
        <f t="shared" ref="I7:I14" si="5">E7/2*H7/100</f>
        <v>0.24141442295313906</v>
      </c>
      <c r="J7" s="67">
        <f t="shared" ref="J7:J14" si="6">I7*B7*NC*0.0001</f>
        <v>238.43399797840897</v>
      </c>
      <c r="K7" s="7">
        <f t="shared" ref="K7:K14" si="7">(1-$B$3)*H7/100</f>
        <v>6.6174315193665741E-3</v>
      </c>
      <c r="L7" s="67">
        <f t="shared" ref="L7:L14" si="8">K7*B7*NC</f>
        <v>65357.348339422962</v>
      </c>
      <c r="N7" s="68" t="s">
        <v>60</v>
      </c>
      <c r="O7" s="61"/>
      <c r="P7" s="67">
        <f>SUM(G7:G14)+SUM(J7:J14)</f>
        <v>398644.84069065592</v>
      </c>
    </row>
    <row r="8" spans="1:16" x14ac:dyDescent="0.25">
      <c r="A8">
        <v>6</v>
      </c>
      <c r="B8" s="1">
        <f t="shared" ref="B8:B26" si="9">1/(1+$B$4/4)^(A8/3)</f>
        <v>0.97546105776558456</v>
      </c>
      <c r="C8" s="65">
        <f>'Q4'!$A$6/2</f>
        <v>8.8232420258220999E-3</v>
      </c>
      <c r="D8" s="66">
        <f t="shared" si="0"/>
        <v>98.243136554820211</v>
      </c>
      <c r="E8" s="66">
        <f t="shared" si="1"/>
        <v>54.722384866382583</v>
      </c>
      <c r="F8" s="1">
        <f t="shared" si="2"/>
        <v>53.760987290334512</v>
      </c>
      <c r="G8" s="61">
        <f t="shared" si="3"/>
        <v>52441.749528751854</v>
      </c>
      <c r="H8" s="66">
        <f t="shared" si="4"/>
        <v>0.87453924259758664</v>
      </c>
      <c r="I8" s="1">
        <f t="shared" si="5"/>
        <v>0.23928436507089931</v>
      </c>
      <c r="J8" s="67">
        <f t="shared" si="6"/>
        <v>233.41257985882575</v>
      </c>
      <c r="K8" s="7">
        <f t="shared" si="7"/>
        <v>6.5590443194818993E-3</v>
      </c>
      <c r="L8" s="67">
        <f t="shared" si="8"/>
        <v>63980.923098131621</v>
      </c>
      <c r="N8" s="68" t="s">
        <v>61</v>
      </c>
      <c r="O8" s="61"/>
      <c r="P8" s="67">
        <f>SUM(L7:L14)</f>
        <v>580927.61074240261</v>
      </c>
    </row>
    <row r="9" spans="1:16" x14ac:dyDescent="0.25">
      <c r="A9">
        <v>9</v>
      </c>
      <c r="B9" s="1">
        <f t="shared" si="9"/>
        <v>0.96341832865736754</v>
      </c>
      <c r="C9" s="65">
        <f>'Q4'!$A$6/2</f>
        <v>8.8232420258220999E-3</v>
      </c>
      <c r="D9" s="66">
        <f t="shared" si="0"/>
        <v>97.37631358362114</v>
      </c>
      <c r="E9" s="66">
        <f t="shared" si="1"/>
        <v>54.722384866382583</v>
      </c>
      <c r="F9" s="1">
        <f t="shared" si="2"/>
        <v>53.286641087924743</v>
      </c>
      <c r="G9" s="61">
        <f t="shared" si="3"/>
        <v>51337.326696693468</v>
      </c>
      <c r="H9" s="66">
        <f t="shared" si="4"/>
        <v>0.86682297119906904</v>
      </c>
      <c r="I9" s="1">
        <f t="shared" si="5"/>
        <v>0.23717310120488361</v>
      </c>
      <c r="J9" s="67">
        <f t="shared" si="6"/>
        <v>228.49691276529367</v>
      </c>
      <c r="K9" s="7">
        <f t="shared" si="7"/>
        <v>6.5011722839930178E-3</v>
      </c>
      <c r="L9" s="67">
        <f t="shared" si="8"/>
        <v>62633.485361581537</v>
      </c>
      <c r="N9" s="68" t="s">
        <v>62</v>
      </c>
      <c r="O9" s="61"/>
      <c r="P9" s="67">
        <f>P8-P7</f>
        <v>182282.77005174669</v>
      </c>
    </row>
    <row r="10" spans="1:16" x14ac:dyDescent="0.25">
      <c r="A10">
        <v>12</v>
      </c>
      <c r="B10" s="1">
        <f t="shared" si="9"/>
        <v>0.9515242752171531</v>
      </c>
      <c r="C10" s="65">
        <f>'Q4'!$A$8/2</f>
        <v>1.2495763102801863E-2</v>
      </c>
      <c r="D10" s="66">
        <f t="shared" si="0"/>
        <v>96.5171388012905</v>
      </c>
      <c r="E10" s="66">
        <f t="shared" si="1"/>
        <v>54.722384866382583</v>
      </c>
      <c r="F10" s="1">
        <f t="shared" si="2"/>
        <v>52.816480156862866</v>
      </c>
      <c r="G10" s="61">
        <f t="shared" si="3"/>
        <v>50256.163000780085</v>
      </c>
      <c r="H10" s="66">
        <f t="shared" si="4"/>
        <v>0.85917478233063749</v>
      </c>
      <c r="I10" s="1">
        <f t="shared" si="5"/>
        <v>0.23508046553093812</v>
      </c>
      <c r="J10" s="67">
        <f t="shared" si="6"/>
        <v>223.68476958203684</v>
      </c>
      <c r="K10" s="7">
        <f t="shared" si="7"/>
        <v>6.4438108674797811E-3</v>
      </c>
      <c r="L10" s="67">
        <f t="shared" si="8"/>
        <v>61314.424653151138</v>
      </c>
    </row>
    <row r="11" spans="1:16" x14ac:dyDescent="0.25">
      <c r="A11">
        <v>15</v>
      </c>
      <c r="B11" s="1">
        <f t="shared" si="9"/>
        <v>0.93977706194286736</v>
      </c>
      <c r="C11" s="65">
        <f>'Q4'!$A$8/2</f>
        <v>1.2495763102801863E-2</v>
      </c>
      <c r="D11" s="66">
        <f t="shared" si="0"/>
        <v>95.311083499469333</v>
      </c>
      <c r="E11" s="66">
        <f t="shared" si="1"/>
        <v>54.722384866382583</v>
      </c>
      <c r="F11" s="1">
        <f t="shared" si="2"/>
        <v>52.156497932898873</v>
      </c>
      <c r="G11" s="61">
        <f t="shared" si="3"/>
        <v>49015.480388608936</v>
      </c>
      <c r="H11" s="66">
        <f t="shared" si="4"/>
        <v>1.2060553018211717</v>
      </c>
      <c r="I11" s="1">
        <f t="shared" si="5"/>
        <v>0.32999111198199688</v>
      </c>
      <c r="J11" s="67">
        <f t="shared" si="6"/>
        <v>310.11807768570077</v>
      </c>
      <c r="K11" s="7">
        <f t="shared" si="7"/>
        <v>9.0454147636587871E-3</v>
      </c>
      <c r="L11" s="67">
        <f t="shared" si="8"/>
        <v>85006.733106458909</v>
      </c>
    </row>
    <row r="12" spans="1:16" x14ac:dyDescent="0.25">
      <c r="A12">
        <v>18</v>
      </c>
      <c r="B12" s="1">
        <f t="shared" si="9"/>
        <v>0.92817487599295534</v>
      </c>
      <c r="C12" s="65">
        <f>'Q4'!$A$8/2</f>
        <v>1.2495763102801863E-2</v>
      </c>
      <c r="D12" s="66">
        <f t="shared" si="0"/>
        <v>94.120098778988591</v>
      </c>
      <c r="E12" s="66">
        <f t="shared" si="1"/>
        <v>54.722384866382583</v>
      </c>
      <c r="F12" s="1">
        <f t="shared" si="2"/>
        <v>51.504762690457589</v>
      </c>
      <c r="G12" s="61">
        <f t="shared" si="3"/>
        <v>47805.42672326207</v>
      </c>
      <c r="H12" s="66">
        <f t="shared" si="4"/>
        <v>1.1909847204807362</v>
      </c>
      <c r="I12" s="1">
        <f t="shared" si="5"/>
        <v>0.32586762122063967</v>
      </c>
      <c r="J12" s="67">
        <f t="shared" si="6"/>
        <v>302.46213891658658</v>
      </c>
      <c r="K12" s="7">
        <f t="shared" si="7"/>
        <v>8.9323854036055216E-3</v>
      </c>
      <c r="L12" s="67">
        <f t="shared" si="8"/>
        <v>82908.157143128396</v>
      </c>
    </row>
    <row r="13" spans="1:16" x14ac:dyDescent="0.25">
      <c r="A13">
        <v>21</v>
      </c>
      <c r="B13" s="1">
        <f t="shared" si="9"/>
        <v>0.91671592690662274</v>
      </c>
      <c r="C13" s="65">
        <f>'Q4'!$A$8/2</f>
        <v>1.2495763102801863E-2</v>
      </c>
      <c r="D13" s="66">
        <f t="shared" si="0"/>
        <v>92.943996321434042</v>
      </c>
      <c r="E13" s="66">
        <f t="shared" si="1"/>
        <v>54.722384866382583</v>
      </c>
      <c r="F13" s="1">
        <f t="shared" si="2"/>
        <v>50.861171377211605</v>
      </c>
      <c r="G13" s="61">
        <f t="shared" si="3"/>
        <v>46625.245862617128</v>
      </c>
      <c r="H13" s="66">
        <f t="shared" si="4"/>
        <v>1.1761024575545522</v>
      </c>
      <c r="I13" s="1">
        <f t="shared" si="5"/>
        <v>0.32179565662299298</v>
      </c>
      <c r="J13" s="67">
        <f t="shared" si="6"/>
        <v>294.99520363567228</v>
      </c>
      <c r="K13" s="7">
        <f t="shared" si="7"/>
        <v>8.8207684316591421E-3</v>
      </c>
      <c r="L13" s="67">
        <f t="shared" si="8"/>
        <v>80861.389088570882</v>
      </c>
    </row>
    <row r="14" spans="1:16" x14ac:dyDescent="0.25">
      <c r="A14">
        <v>24</v>
      </c>
      <c r="B14" s="1">
        <f t="shared" si="9"/>
        <v>0.90539844632752842</v>
      </c>
      <c r="C14" s="65">
        <f>'Q4'!$A$9/2</f>
        <v>1.3715102277974933E-2</v>
      </c>
      <c r="D14" s="66">
        <f t="shared" si="0"/>
        <v>91.782590161573708</v>
      </c>
      <c r="E14" s="66">
        <f t="shared" si="1"/>
        <v>54.722384866382583</v>
      </c>
      <c r="F14" s="1">
        <f t="shared" si="2"/>
        <v>50.225622228550968</v>
      </c>
      <c r="G14" s="61">
        <f t="shared" si="3"/>
        <v>45474.200331563428</v>
      </c>
      <c r="H14" s="66">
        <f t="shared" si="4"/>
        <v>1.1614061598603276</v>
      </c>
      <c r="I14" s="1">
        <f t="shared" si="5"/>
        <v>0.31777457433032152</v>
      </c>
      <c r="J14" s="67">
        <f t="shared" si="6"/>
        <v>287.7126058810648</v>
      </c>
      <c r="K14" s="7">
        <f t="shared" si="7"/>
        <v>8.7105461989524565E-3</v>
      </c>
      <c r="L14" s="67">
        <f t="shared" si="8"/>
        <v>78865.149951957137</v>
      </c>
    </row>
    <row r="15" spans="1:16" x14ac:dyDescent="0.25">
      <c r="A15">
        <f>A14+3</f>
        <v>27</v>
      </c>
      <c r="B15" s="1">
        <f t="shared" si="9"/>
        <v>0.89422068773089236</v>
      </c>
      <c r="C15" s="65">
        <f>'Q4'!$A$9/2</f>
        <v>1.3715102277974933E-2</v>
      </c>
      <c r="G15" s="61"/>
    </row>
    <row r="16" spans="1:16" x14ac:dyDescent="0.25">
      <c r="A16">
        <f t="shared" ref="A16:A26" si="10">A15+3</f>
        <v>30</v>
      </c>
      <c r="B16" s="1">
        <f t="shared" si="9"/>
        <v>0.88318092615396759</v>
      </c>
      <c r="C16" s="65">
        <f>'Q4'!$A$9/2</f>
        <v>1.3715102277974933E-2</v>
      </c>
    </row>
    <row r="17" spans="1:7" x14ac:dyDescent="0.25">
      <c r="A17">
        <f t="shared" si="10"/>
        <v>33</v>
      </c>
      <c r="B17" s="1">
        <f t="shared" si="9"/>
        <v>0.87227745792984479</v>
      </c>
      <c r="C17" s="65">
        <f>'Q4'!$A$9/2</f>
        <v>1.3715102277974933E-2</v>
      </c>
    </row>
    <row r="18" spans="1:7" x14ac:dyDescent="0.25">
      <c r="A18">
        <f t="shared" si="10"/>
        <v>36</v>
      </c>
      <c r="B18" s="1">
        <f t="shared" si="9"/>
        <v>0.86150860042453792</v>
      </c>
      <c r="C18" s="65"/>
    </row>
    <row r="19" spans="1:7" x14ac:dyDescent="0.25">
      <c r="A19">
        <f t="shared" si="10"/>
        <v>39</v>
      </c>
      <c r="B19" s="1">
        <f t="shared" si="9"/>
        <v>0.85087269177732161</v>
      </c>
      <c r="C19" s="65"/>
      <c r="G19" s="61"/>
    </row>
    <row r="20" spans="1:7" x14ac:dyDescent="0.25">
      <c r="A20">
        <f t="shared" si="10"/>
        <v>42</v>
      </c>
      <c r="B20" s="1">
        <f t="shared" si="9"/>
        <v>0.8403680906442681</v>
      </c>
    </row>
    <row r="21" spans="1:7" x14ac:dyDescent="0.25">
      <c r="A21">
        <f t="shared" si="10"/>
        <v>45</v>
      </c>
      <c r="B21" s="1">
        <f t="shared" si="9"/>
        <v>0.82999317594495636</v>
      </c>
    </row>
    <row r="22" spans="1:7" x14ac:dyDescent="0.25">
      <c r="A22">
        <f t="shared" si="10"/>
        <v>48</v>
      </c>
      <c r="B22" s="1">
        <f t="shared" si="9"/>
        <v>0.81974634661230239</v>
      </c>
    </row>
    <row r="23" spans="1:7" x14ac:dyDescent="0.25">
      <c r="A23">
        <f t="shared" si="10"/>
        <v>51</v>
      </c>
      <c r="B23" s="1">
        <f t="shared" si="9"/>
        <v>0.80962602134548389</v>
      </c>
    </row>
    <row r="24" spans="1:7" x14ac:dyDescent="0.25">
      <c r="A24">
        <f t="shared" si="10"/>
        <v>54</v>
      </c>
      <c r="B24" s="1">
        <f t="shared" si="9"/>
        <v>0.79963063836590986</v>
      </c>
    </row>
    <row r="25" spans="1:7" x14ac:dyDescent="0.25">
      <c r="A25">
        <f t="shared" si="10"/>
        <v>57</v>
      </c>
      <c r="B25" s="1">
        <f t="shared" si="9"/>
        <v>0.78975865517620747</v>
      </c>
    </row>
    <row r="26" spans="1:7" x14ac:dyDescent="0.25">
      <c r="A26">
        <f t="shared" si="10"/>
        <v>60</v>
      </c>
      <c r="B26" s="1">
        <f t="shared" si="9"/>
        <v>0.78000854832218014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'Q4'!h</vt:lpstr>
      <vt:lpstr>NC</vt:lpstr>
      <vt:lpstr>'Q4'!rf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Hermon Alfaro</cp:lastModifiedBy>
  <dcterms:created xsi:type="dcterms:W3CDTF">2013-03-29T21:40:54Z</dcterms:created>
  <dcterms:modified xsi:type="dcterms:W3CDTF">2019-08-26T20:33:45Z</dcterms:modified>
</cp:coreProperties>
</file>