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S Calculator" sheetId="1" r:id="rId5"/>
    <sheet state="visible" name="_Weapon" sheetId="2" r:id="rId6"/>
    <sheet state="visible" name="_OptionsCrafter" sheetId="3" r:id="rId7"/>
    <sheet state="visible" name="_Options" sheetId="4" r:id="rId8"/>
    <sheet state="visible" name="IGNORE REF CALC" sheetId="5" r:id="rId9"/>
  </sheets>
  <definedNames>
    <definedName name="Gauntlet">'_OptionsCrafter'!$K$151:$K$155</definedName>
    <definedName name="Colossal_Sword">'_OptionsCrafter'!$Q$151:$Q$161</definedName>
    <definedName name="Great_Axe">'_OptionsCrafter'!$P$151:$P$158</definedName>
    <definedName name="Straight_Sword">'_OptionsCrafter'!$I$151:$I$162</definedName>
    <definedName name="Spear">'_OptionsCrafter'!$O$151:$O$160</definedName>
    <definedName name="Dagger">'_OptionsCrafter'!$H$151:$H$160</definedName>
    <definedName name="Mace">'_OptionsCrafter'!$J$151:$J$157</definedName>
    <definedName name="Axe">'_OptionsCrafter'!$L$151:$L$155</definedName>
    <definedName name="Katana">'_OptionsCrafter'!$M$151:$M$156</definedName>
    <definedName name="Great_Sword">'_OptionsCrafter'!$N$151:$N$155</definedName>
  </definedNames>
  <calcPr/>
</workbook>
</file>

<file path=xl/sharedStrings.xml><?xml version="1.0" encoding="utf-8"?>
<sst xmlns="http://schemas.openxmlformats.org/spreadsheetml/2006/main" count="1393" uniqueCount="635">
  <si>
    <t>None</t>
  </si>
  <si>
    <t>WeaponType</t>
  </si>
  <si>
    <t>Human</t>
  </si>
  <si>
    <t>LittleTimmy's "The Forge" Calculator</t>
  </si>
  <si>
    <t>WeaponName</t>
  </si>
  <si>
    <t>Physical Damage +5%</t>
  </si>
  <si>
    <t>AttackSpeed</t>
  </si>
  <si>
    <t>AttackDamage</t>
  </si>
  <si>
    <t>Race \ Trait</t>
  </si>
  <si>
    <t>Dagger</t>
  </si>
  <si>
    <t>Straight Sword</t>
  </si>
  <si>
    <t>Weapon Variant</t>
  </si>
  <si>
    <t>Physical Damage +10%</t>
  </si>
  <si>
    <t>Mace</t>
  </si>
  <si>
    <t>Physical Damage +12%</t>
  </si>
  <si>
    <t>Gauntlet</t>
  </si>
  <si>
    <t>Physical Damage +20%</t>
  </si>
  <si>
    <t>Axe</t>
  </si>
  <si>
    <t>Katana</t>
  </si>
  <si>
    <t>Physical Damage +20% (Gauntlets Only)</t>
  </si>
  <si>
    <t>Great Sword</t>
  </si>
  <si>
    <t>Physical Damage +30% (below 50% HP)</t>
  </si>
  <si>
    <t>Spear</t>
  </si>
  <si>
    <t>Attack Speed +15% (Heavy Weapons Only)</t>
  </si>
  <si>
    <t>Great Axe</t>
  </si>
  <si>
    <t>Attack Speed +10%</t>
  </si>
  <si>
    <t>Colossal Sword</t>
  </si>
  <si>
    <t>Attack speed +10% (Daggers only)</t>
  </si>
  <si>
    <t>Attack Speed +20%  (Gauntlets Only)</t>
  </si>
  <si>
    <t>Attack Speed +20%</t>
  </si>
  <si>
    <t>Fire Damage +20%</t>
  </si>
  <si>
    <t>50% chance to deal 30% Physical Damage on-hit</t>
  </si>
  <si>
    <t>40% chance to burn enemies for 30% weapon damage/s for 3 seconds</t>
  </si>
  <si>
    <t>10% Damage Boost (Straight Swords Only)</t>
  </si>
  <si>
    <t>Deals 10% weapon damage/s during combat</t>
  </si>
  <si>
    <r>
      <rPr>
        <rFont val="Times New Roman"/>
        <b/>
        <i/>
        <color rgb="FFF79646"/>
        <sz val="9.0"/>
      </rPr>
      <t>Yellow = editable input</t>
    </r>
    <r>
      <rPr>
        <rFont val="Times New Roman"/>
        <b/>
        <i/>
        <color rgb="FF5C5070"/>
        <sz val="9.0"/>
      </rPr>
      <t xml:space="preserve">  |  </t>
    </r>
    <r>
      <rPr>
        <rFont val="Times New Roman"/>
        <b/>
        <i/>
        <color rgb="FF6AA84F"/>
        <sz val="9.0"/>
      </rPr>
      <t>Green = calculated</t>
    </r>
    <r>
      <rPr>
        <rFont val="Times New Roman"/>
        <b/>
        <i/>
        <color rgb="FF5C5070"/>
        <sz val="9.0"/>
      </rPr>
      <t xml:space="preserve">  |  Grey = locked (fixed game initial value)</t>
    </r>
  </si>
  <si>
    <t>Crit Chance +5%</t>
  </si>
  <si>
    <t>Elf</t>
  </si>
  <si>
    <t>Weapon Type</t>
  </si>
  <si>
    <t>Falchion Knife</t>
  </si>
  <si>
    <t>Falchion</t>
  </si>
  <si>
    <t>Gladius Dagger</t>
  </si>
  <si>
    <t>Hook</t>
  </si>
  <si>
    <t>Cultist Dagger</t>
  </si>
  <si>
    <t>Ironhand</t>
  </si>
  <si>
    <t>Shark's Fang</t>
  </si>
  <si>
    <t>Curved Dagger</t>
  </si>
  <si>
    <t>Uchigatana</t>
  </si>
  <si>
    <t>Kunai</t>
  </si>
  <si>
    <t>Crusader Sword</t>
  </si>
  <si>
    <t>Jitte</t>
  </si>
  <si>
    <t>Damascus Dagger</t>
  </si>
  <si>
    <t>Tanto</t>
  </si>
  <si>
    <t>Double Battle Axe</t>
  </si>
  <si>
    <t>Crit Chance +6%</t>
  </si>
  <si>
    <t>Zombie</t>
  </si>
  <si>
    <r>
      <rPr>
        <rFont val="Times New Roman"/>
        <color rgb="FF5C5070"/>
        <sz val="9.0"/>
        <u/>
      </rPr>
      <t>YOU WILL NOT BE ABLE TO EDIT THIS SHEET HERE. YOU NEED TO CREATE YOUR OWN COPY BY GOING TO "</t>
    </r>
    <r>
      <rPr>
        <rFont val="Times New Roman"/>
        <b/>
        <color rgb="FF5C5070"/>
        <sz val="9.0"/>
        <u/>
      </rPr>
      <t>FILE</t>
    </r>
    <r>
      <rPr>
        <rFont val="Times New Roman"/>
        <color rgb="FF5C5070"/>
        <sz val="9.0"/>
        <u/>
      </rPr>
      <t>" &gt; "</t>
    </r>
    <r>
      <rPr>
        <rFont val="Times New Roman"/>
        <b/>
        <color rgb="FF5C5070"/>
        <sz val="9.0"/>
        <u/>
      </rPr>
      <t>MAKE A COPY</t>
    </r>
    <r>
      <rPr>
        <rFont val="Times New Roman"/>
        <color rgb="FF5C5070"/>
        <sz val="9.0"/>
        <u/>
      </rPr>
      <t>" TO BE ABLE TO EDIT YOURSELF</t>
    </r>
  </si>
  <si>
    <t>Attackspeed</t>
  </si>
  <si>
    <t>Gladius</t>
  </si>
  <si>
    <t>Spiked Mace</t>
  </si>
  <si>
    <t>Boxing Glove</t>
  </si>
  <si>
    <t>Battleaxe</t>
  </si>
  <si>
    <t>Tachi</t>
  </si>
  <si>
    <t>Long Sword</t>
  </si>
  <si>
    <t>Trident</t>
  </si>
  <si>
    <t>Scythe</t>
  </si>
  <si>
    <t>Hammer</t>
  </si>
  <si>
    <t>Crit Chance +7%</t>
  </si>
  <si>
    <t>Goblin</t>
  </si>
  <si>
    <t>Attackdamage</t>
  </si>
  <si>
    <t>WEAPON CRAFTER</t>
  </si>
  <si>
    <t>Cutlass</t>
  </si>
  <si>
    <t>Winged Mace</t>
  </si>
  <si>
    <t>Relevator</t>
  </si>
  <si>
    <t>Crit Chance +8%</t>
  </si>
  <si>
    <t>Undead</t>
  </si>
  <si>
    <t>Curved Handle Axe</t>
  </si>
  <si>
    <t>Physical Damage +20% with Gauntlets</t>
  </si>
  <si>
    <t>Straight Edge Katana</t>
  </si>
  <si>
    <t>Dark Knight Greatsword</t>
  </si>
  <si>
    <t>Angelic Spear</t>
  </si>
  <si>
    <t>Greater Battle Axe</t>
  </si>
  <si>
    <t>Skull Crusher</t>
  </si>
  <si>
    <t>Category</t>
  </si>
  <si>
    <t>Type</t>
  </si>
  <si>
    <t>Amount</t>
  </si>
  <si>
    <t>Multiplier</t>
  </si>
  <si>
    <t>Crit Chance +9%</t>
  </si>
  <si>
    <t>Orc</t>
  </si>
  <si>
    <t>Rapier</t>
  </si>
  <si>
    <t>Hammerhead Mace</t>
  </si>
  <si>
    <t>Savage Claws</t>
  </si>
  <si>
    <t>Spade Armed Axe</t>
  </si>
  <si>
    <t>Washimaru</t>
  </si>
  <si>
    <t>Anchored Greatsword</t>
  </si>
  <si>
    <t>Demonic Spear</t>
  </si>
  <si>
    <t>Wyvern Axe</t>
  </si>
  <si>
    <t>Dragon Slayer</t>
  </si>
  <si>
    <t>Ore 1</t>
  </si>
  <si>
    <t>Crit Chance +10%</t>
  </si>
  <si>
    <t>Chaos</t>
  </si>
  <si>
    <t>Dwarf</t>
  </si>
  <si>
    <t>Hell Slayer</t>
  </si>
  <si>
    <t>Candy Cane</t>
  </si>
  <si>
    <t>Crystalized Broadsword</t>
  </si>
  <si>
    <t>Hook Blade</t>
  </si>
  <si>
    <t>Hachiwari</t>
  </si>
  <si>
    <t>Chokuto</t>
  </si>
  <si>
    <t>Dragon Blade</t>
  </si>
  <si>
    <t>Ancienite</t>
  </si>
  <si>
    <t>Crit Chance +11%</t>
  </si>
  <si>
    <t>Shadow</t>
  </si>
  <si>
    <t>Attack Speed +15% for heavy weapons</t>
  </si>
  <si>
    <t>Grave Maker</t>
  </si>
  <si>
    <t>DKG</t>
  </si>
  <si>
    <t>Ornate short axe</t>
  </si>
  <si>
    <t>Kurokiba-gatana</t>
  </si>
  <si>
    <t>Zweihander</t>
  </si>
  <si>
    <t>Knight Spear</t>
  </si>
  <si>
    <t>Reaper</t>
  </si>
  <si>
    <t>Comically Large Spoon</t>
  </si>
  <si>
    <t>Crit Chance +12%</t>
  </si>
  <si>
    <t>Vampire</t>
  </si>
  <si>
    <t>Attack Speed +10% with Daggers</t>
  </si>
  <si>
    <t>Kanabo</t>
  </si>
  <si>
    <t>Juto Katana</t>
  </si>
  <si>
    <t>Compass Spear</t>
  </si>
  <si>
    <t>Executioner's Greataxe</t>
  </si>
  <si>
    <t>Excalibur</t>
  </si>
  <si>
    <t>Crit Chance +13%</t>
  </si>
  <si>
    <t>Minotaur</t>
  </si>
  <si>
    <t>Attack Speed +20%  with Gauntlets</t>
  </si>
  <si>
    <t>Tetsubo</t>
  </si>
  <si>
    <t>Shakujo</t>
  </si>
  <si>
    <t>Anchored Straight Blade</t>
  </si>
  <si>
    <t>Colossal Terrorblade</t>
  </si>
  <si>
    <t>Crit Chance +14%</t>
  </si>
  <si>
    <t>Dragonborn</t>
  </si>
  <si>
    <t>Crit Chance +15%</t>
  </si>
  <si>
    <t>Golem</t>
  </si>
  <si>
    <t>Sodegarami</t>
  </si>
  <si>
    <t>Sun Great Axe</t>
  </si>
  <si>
    <t>Colossal Gemblade</t>
  </si>
  <si>
    <t>Crit DMG +5%</t>
  </si>
  <si>
    <t>Felynx</t>
  </si>
  <si>
    <t>Bo Staff</t>
  </si>
  <si>
    <t>Otsuchi</t>
  </si>
  <si>
    <t>Crit DMG +6%</t>
  </si>
  <si>
    <t>Angel</t>
  </si>
  <si>
    <t>40% chance to burn enemies for 30% weapon damage/s for 3 seconds"</t>
  </si>
  <si>
    <t>Ore 2</t>
  </si>
  <si>
    <t>Aetherit</t>
  </si>
  <si>
    <t>Naginata</t>
  </si>
  <si>
    <t>Kinmon Kamagatana</t>
  </si>
  <si>
    <t>Crit DMG +7%</t>
  </si>
  <si>
    <t>Demon</t>
  </si>
  <si>
    <t>Physical Damage +10% (Straight Sword Only)</t>
  </si>
  <si>
    <t>Sharktooth Odachi</t>
  </si>
  <si>
    <t>Crit DMG +8%</t>
  </si>
  <si>
    <t>Archangel</t>
  </si>
  <si>
    <t>Crit DMG +9%</t>
  </si>
  <si>
    <t>Crit DMG +10%</t>
  </si>
  <si>
    <t>Ore 3</t>
  </si>
  <si>
    <t>Select Ore</t>
  </si>
  <si>
    <t>Crit DMG +11%</t>
  </si>
  <si>
    <t>Crit DMG +12%</t>
  </si>
  <si>
    <t>Crit DMG +13%</t>
  </si>
  <si>
    <t>Crit DMG +14%</t>
  </si>
  <si>
    <t>Crit DMG +15%</t>
  </si>
  <si>
    <t>Atk Speed +5%</t>
  </si>
  <si>
    <t>Atk Speed +6%</t>
  </si>
  <si>
    <t>Atk Speed +7%</t>
  </si>
  <si>
    <t>Ore 4</t>
  </si>
  <si>
    <t>Atk Speed +8%</t>
  </si>
  <si>
    <t>Atk Speed +9%</t>
  </si>
  <si>
    <t>Atk Speed +10%</t>
  </si>
  <si>
    <t>Atk Speed +11%</t>
  </si>
  <si>
    <t>Atk Speed +12%</t>
  </si>
  <si>
    <t>Atk Speed +13%</t>
  </si>
  <si>
    <t>Atk Speed +14%</t>
  </si>
  <si>
    <t>Atk Speed +15%</t>
  </si>
  <si>
    <t>Total</t>
  </si>
  <si>
    <t>Atk Speed +16%</t>
  </si>
  <si>
    <t>Atk Speed +17%</t>
  </si>
  <si>
    <t>Atk Speed +18%</t>
  </si>
  <si>
    <t>Lethality +5%</t>
  </si>
  <si>
    <t>-------------------------------------------------</t>
  </si>
  <si>
    <t>Weapon</t>
  </si>
  <si>
    <t>Quality (%)</t>
  </si>
  <si>
    <t>Lethality +6%</t>
  </si>
  <si>
    <t>Lethality +7%</t>
  </si>
  <si>
    <t>Lethality +8%</t>
  </si>
  <si>
    <t>Lethality +9%</t>
  </si>
  <si>
    <t>Lethality +10%</t>
  </si>
  <si>
    <t>Lethality +11%</t>
  </si>
  <si>
    <t>Enhancement Level (0-9)</t>
  </si>
  <si>
    <t>Lethality +12%</t>
  </si>
  <si>
    <t>Base DMG</t>
  </si>
  <si>
    <t>1.33.</t>
  </si>
  <si>
    <t>Lethality +13%</t>
  </si>
  <si>
    <t>Lethality +14%</t>
  </si>
  <si>
    <t>Lethality +15%</t>
  </si>
  <si>
    <t>Active Traits</t>
  </si>
  <si>
    <t xml:space="preserve">Naginata </t>
  </si>
  <si>
    <t>BASE WEAPON STATS</t>
  </si>
  <si>
    <t>Stat</t>
  </si>
  <si>
    <t>Value</t>
  </si>
  <si>
    <t>Formula</t>
  </si>
  <si>
    <t>Result</t>
  </si>
  <si>
    <t>Weapon DMG</t>
  </si>
  <si>
    <t>Hits per Second</t>
  </si>
  <si>
    <t>Base Attack Speed (seconds)</t>
  </si>
  <si>
    <t>Avg DMG per Hit (with crit)</t>
  </si>
  <si>
    <t>Base Crit Chance %</t>
  </si>
  <si>
    <t>Effective Atk Speed (s)</t>
  </si>
  <si>
    <t>Base Crit Multiplier %</t>
  </si>
  <si>
    <t>Effective Hits/sec</t>
  </si>
  <si>
    <t>Race</t>
  </si>
  <si>
    <t>Applied trait(s)</t>
  </si>
  <si>
    <t>Ores</t>
  </si>
  <si>
    <t>Enhancement</t>
  </si>
  <si>
    <t>Weapon Type (for race bonus)</t>
  </si>
  <si>
    <t>Ore</t>
  </si>
  <si>
    <t>Weapon specific race trait applied?</t>
  </si>
  <si>
    <t>Equipment</t>
  </si>
  <si>
    <t>Trait (10%)</t>
  </si>
  <si>
    <t>Trait (30%)</t>
  </si>
  <si>
    <t>Comments</t>
  </si>
  <si>
    <t xml:space="preserve"> </t>
  </si>
  <si>
    <t>0x</t>
  </si>
  <si>
    <t>Graphite</t>
  </si>
  <si>
    <t>RUNE SLOTS</t>
  </si>
  <si>
    <t>Armour</t>
  </si>
  <si>
    <t>2.33x</t>
  </si>
  <si>
    <t>Slot</t>
  </si>
  <si>
    <t>Stat 1</t>
  </si>
  <si>
    <t>Stat 2</t>
  </si>
  <si>
    <t>2.55x</t>
  </si>
  <si>
    <t>Frost Fossil</t>
  </si>
  <si>
    <t>3.34x</t>
  </si>
  <si>
    <t>All effects stack with all similar effects</t>
  </si>
  <si>
    <t>Crimsonite</t>
  </si>
  <si>
    <t>5.8x</t>
  </si>
  <si>
    <t>Rune 1</t>
  </si>
  <si>
    <t>Stacks with all Lethality effects</t>
  </si>
  <si>
    <r>
      <rPr>
        <rFont val="Times New Roman"/>
        <color rgb="FF5C5070"/>
        <sz val="10.0"/>
      </rPr>
      <t>←</t>
    </r>
    <r>
      <rPr>
        <rFont val="Times New Roman"/>
        <color rgb="FF5C5070"/>
        <sz val="10.0"/>
      </rPr>
      <t xml:space="preserve"> Select from drop down</t>
    </r>
  </si>
  <si>
    <t>Malachite</t>
  </si>
  <si>
    <t>6.4x</t>
  </si>
  <si>
    <t>Only the Poison damage stacks with similar effects, highest % and timer is chosen between ore trait and rune traits</t>
  </si>
  <si>
    <t>Frogite</t>
  </si>
  <si>
    <t>6.2x</t>
  </si>
  <si>
    <t>Mosasaursit</t>
  </si>
  <si>
    <t>7.5x</t>
  </si>
  <si>
    <t>Rune 2</t>
  </si>
  <si>
    <t>← Select from drop down</t>
  </si>
  <si>
    <t>Coinite</t>
  </si>
  <si>
    <t>1x</t>
  </si>
  <si>
    <t>Prismatic Heart</t>
  </si>
  <si>
    <t>4.3x</t>
  </si>
  <si>
    <t>Between ore and runes, highest freeze chance is chosen, highest freeze timer is chosen and lowest cooldown is chosen.  All other effects stack with similar effects</t>
  </si>
  <si>
    <t>Velchire</t>
  </si>
  <si>
    <t>Rune 3</t>
  </si>
  <si>
    <t>4.7x</t>
  </si>
  <si>
    <t>Sanctis</t>
  </si>
  <si>
    <t>5x</t>
  </si>
  <si>
    <t>Snowite</t>
  </si>
  <si>
    <t>6x</t>
  </si>
  <si>
    <t>Only the highest value of all snow effects is used</t>
  </si>
  <si>
    <t>Moon Stone</t>
  </si>
  <si>
    <t>7.2x</t>
  </si>
  <si>
    <t>Add that value to Moon Boost</t>
  </si>
  <si>
    <t>Voidstar</t>
  </si>
  <si>
    <t>All effects stack with similar effects</t>
  </si>
  <si>
    <t>Gulabite</t>
  </si>
  <si>
    <t>7.77x</t>
  </si>
  <si>
    <t>Yeti Heart</t>
  </si>
  <si>
    <t>IFS(C6="Frost Fossil",IF(SUM($D$6:$D$9)=0,0,IF(D6/SUM($D$6:$D$9)&lt;0.1,0,(1.75+(17.5-1.75)*MIN((D6/SUM($D$6:$D$9)-0.1)/0.2,1))/100)),C6="Crimsonite",IF(SUM($D$6:$D$9)=0,0,IF(D6/SUM($D$6:$D$9)&lt;0.1,0,(2+(20-2)*MIN((D6/SUM($D$6:$D$9)-0.1)/0.2,1))/100)),C6="Sealed Curse",IF(SUM($D$6:$D$9)=0,0,IF(D6/SUM($D$6:$D$9)&lt;0.1,0,(3+(30-3)*MIN((D6/SUM($D$6:$D$9)-0.1)/0.2,1))/100)),TRUE,0)+IFS(C7="Frost Fossil",IF(SUM($D$6:$D$9)=0,0,IF(D7/SUM($D$6:$D$9)&lt;0.1,0,(1.75+(17.5-1.75)*MIN((D7/SUM($D$6:$D$9)-0.1)/0.2,1))/100)),C7="Crimsonite",IF(SUM($D$6:$D$9)=0,0,IF(D7/SUM($D$6:$D$9)&lt;0.1,0,(2+(20-2)*MIN((D7/SUM($D$6:$D$9)-0.1)/0.2,1))/100)),C7="Sealed Curse",IF(SUM($D$6:$D$9)=0,0,IF(D7/SUM($D$6:$D$9)&lt;0.1,0,(3+(30-3)*MIN((D7/SUM($D$6:$D$9)-0.1)/0.2,1))/100)),TRUE,0)+IFS(C8="Frost Fossil",IF(SUM($D$6:$D$9)=0,0,IF(D8/SUM($D$6:$D$9)&lt;0.1,0,(1.75+(17.5-1.75)*MIN((D8/SUM($D$6:$D$9)-0.1)/0.2,1))/100)),C8="Crimsonite",IF(SUM($D$6:$D$9)=0,0,IF(D8/SUM($D$6:$D$9)&lt;0.1,0,(2+(20-2)*MIN((D8/SUM($D$6:$D$9)-0.1)/0.2,1))/100)),C8="Sealed Curse",IF(SUM($D$6:$D$9)=0,0,IF(D8/SUM($D$6:$D$9)&lt;0.1,0,(3+(30-3)*MIN((D8/SUM($D$6:$D$9)-0.1)/0.2,1))/100)),TRUE,0)+IFS(C9="Frost Fossil",IF(SUM($D$6:$D$9)=0,0,IF(D9/SUM($D$6:$D$9)&lt;0.1,0,(1.75+(17.5-1.75)*MIN((D9/SUM($D$6:$D$9)-0.1)/0.2,1))/100)),C9="Crimsonite",IF(SUM($D$6:$D$9)=0,0,IF(D9/SUM($D$6:$D$9)&lt;0.1,0,(2+(20-2)*MIN((D9/SUM($D$6:$D$9)-0.1)/0.2,1))/100)),C9="Sealed Curse",IF(SUM($D$6:$D$9)=0,0,IF(D9/SUM($D$6:$D$9)&lt;0.1,0,(3+(30-3)*MIN((D9/SUM($D$6:$D$9)-0.1)/0.2,1))/100)),TRUE,0)</t>
  </si>
  <si>
    <t>RUNE ABILITIES</t>
  </si>
  <si>
    <t>Reaper Scythe</t>
  </si>
  <si>
    <t>Ability</t>
  </si>
  <si>
    <t>Iceite</t>
  </si>
  <si>
    <t>Fire</t>
  </si>
  <si>
    <t>8x</t>
  </si>
  <si>
    <t>Poison</t>
  </si>
  <si>
    <t>Blast</t>
  </si>
  <si>
    <t xml:space="preserve">Between ore and runes, highest freeze chance is chosen, highest freeze timer is chosen and lowest cooldown is chosen. </t>
  </si>
  <si>
    <t>Ability DMG (% of base weapon DMG)</t>
  </si>
  <si>
    <t>Etherealite</t>
  </si>
  <si>
    <t>8.5x</t>
  </si>
  <si>
    <t>Ability Proc Chance %</t>
  </si>
  <si>
    <t>Duranite</t>
  </si>
  <si>
    <t>Time (seconds)</t>
  </si>
  <si>
    <t>9x</t>
  </si>
  <si>
    <t>Evil Eye Ore</t>
  </si>
  <si>
    <t>9.5x</t>
  </si>
  <si>
    <t>Suryafal</t>
  </si>
  <si>
    <t>11.5x</t>
  </si>
  <si>
    <t>ORE TRAITS</t>
  </si>
  <si>
    <t>Heart of the Island</t>
  </si>
  <si>
    <t>13x</t>
  </si>
  <si>
    <t>Trait / Bonus</t>
  </si>
  <si>
    <t>Value (input)</t>
  </si>
  <si>
    <t>Calculated</t>
  </si>
  <si>
    <t>DPS Contribution</t>
  </si>
  <si>
    <t>Stat Bonuses (from ore traits &amp; race)</t>
  </si>
  <si>
    <t>Golem Heart</t>
  </si>
  <si>
    <t>Crit Chance armor bonus (if Yin Yang armor)</t>
  </si>
  <si>
    <t>Auto-calculated from ores (all stack)</t>
  </si>
  <si>
    <t>Only the highest value of all snow effects is used
All other effects stack with similar effects</t>
  </si>
  <si>
    <t>Crit DMG armor bonus (if Yin Yang armor)</t>
  </si>
  <si>
    <t>Stolen Heart</t>
  </si>
  <si>
    <t>12.5x</t>
  </si>
  <si>
    <t>Stacks with all lifesteal effects</t>
  </si>
  <si>
    <t>Lethality Bonus (if sealed curse, eye ore, frost fossil or kokorite armor) %</t>
  </si>
  <si>
    <t>Heavenite</t>
  </si>
  <si>
    <t>13.7x</t>
  </si>
  <si>
    <t>Only smite damage stacks with Angel's passive, the rest uses highest value between ore and race</t>
  </si>
  <si>
    <t>Lethality Bonus %</t>
  </si>
  <si>
    <t>Gargantuan</t>
  </si>
  <si>
    <t>15x</t>
  </si>
  <si>
    <t>Only the damage for both effects stack with other similar effects, the rest takes the highest value</t>
  </si>
  <si>
    <t>Bamboo</t>
  </si>
  <si>
    <t>4x</t>
  </si>
  <si>
    <t>Root Spire</t>
  </si>
  <si>
    <t>4.44x</t>
  </si>
  <si>
    <t>Water Stone</t>
  </si>
  <si>
    <t>Earthite</t>
  </si>
  <si>
    <t>Armor</t>
  </si>
  <si>
    <t>Melonite</t>
  </si>
  <si>
    <t>5.2x</t>
  </si>
  <si>
    <t>Rock Seed</t>
  </si>
  <si>
    <t>5.5x</t>
  </si>
  <si>
    <t>Aurelia-No-Ki</t>
  </si>
  <si>
    <t>Sakuranite</t>
  </si>
  <si>
    <t>10.1x</t>
  </si>
  <si>
    <t>Fruite</t>
  </si>
  <si>
    <t>10.33x</t>
  </si>
  <si>
    <t>Wraith</t>
  </si>
  <si>
    <t>5.75x</t>
  </si>
  <si>
    <t>Tiger's Eye</t>
  </si>
  <si>
    <t>Weapons</t>
  </si>
  <si>
    <t>Shikanite</t>
  </si>
  <si>
    <t>6.15x</t>
  </si>
  <si>
    <t>Cyanite Jade</t>
  </si>
  <si>
    <t>6.5x</t>
  </si>
  <si>
    <t>Magit</t>
  </si>
  <si>
    <t>6.8x</t>
  </si>
  <si>
    <t>Blue Gem Quill</t>
  </si>
  <si>
    <t>11x</t>
  </si>
  <si>
    <t>Heat Steel</t>
  </si>
  <si>
    <t>Sealed Curse</t>
  </si>
  <si>
    <t>12x</t>
  </si>
  <si>
    <t>Crit Chance Bonus %</t>
  </si>
  <si>
    <t>All effects stack with similar effects, "Physical Damage &amp; Movement Speed" = berserk</t>
  </si>
  <si>
    <t>Lucky Cat</t>
  </si>
  <si>
    <t>11.1x</t>
  </si>
  <si>
    <t>Duquack</t>
  </si>
  <si>
    <t>Onyx</t>
  </si>
  <si>
    <t>10x</t>
  </si>
  <si>
    <t>Zenstone</t>
  </si>
  <si>
    <t>12.21x</t>
  </si>
  <si>
    <t>Azuryxite</t>
  </si>
  <si>
    <t>Sun Stone</t>
  </si>
  <si>
    <t>13.39x</t>
  </si>
  <si>
    <t>Only fire damage stacks, the rest takes highest value between ores and runes</t>
  </si>
  <si>
    <t>Roosite</t>
  </si>
  <si>
    <t>14x</t>
  </si>
  <si>
    <t>Onite</t>
  </si>
  <si>
    <t>9.8x</t>
  </si>
  <si>
    <t>Meteorite</t>
  </si>
  <si>
    <t>14.44x</t>
  </si>
  <si>
    <t>Only damage stacks with other similar effects, the rest takes highest value between ores and runes</t>
  </si>
  <si>
    <t>Heavenly Orb</t>
  </si>
  <si>
    <t>15.15x</t>
  </si>
  <si>
    <t>Kyubite</t>
  </si>
  <si>
    <t>17x</t>
  </si>
  <si>
    <t>Crit damage, Crit Chance and Burn damage stack with other similar effects, the rest takes highest value between ores and runes</t>
  </si>
  <si>
    <t>Stone</t>
  </si>
  <si>
    <t>0.2x</t>
  </si>
  <si>
    <t>Sand Stone</t>
  </si>
  <si>
    <t>0.25x</t>
  </si>
  <si>
    <t>Copper</t>
  </si>
  <si>
    <t>0.3x</t>
  </si>
  <si>
    <t>Iron</t>
  </si>
  <si>
    <t>0.35x</t>
  </si>
  <si>
    <t>Tin</t>
  </si>
  <si>
    <t>0.425x</t>
  </si>
  <si>
    <t>Silver</t>
  </si>
  <si>
    <t>0.5x</t>
  </si>
  <si>
    <t>Gold</t>
  </si>
  <si>
    <t>0.65x</t>
  </si>
  <si>
    <t>Mushroomite</t>
  </si>
  <si>
    <t>0.8x</t>
  </si>
  <si>
    <t>Platinum</t>
  </si>
  <si>
    <t>Bananite</t>
  </si>
  <si>
    <t>0.85x</t>
  </si>
  <si>
    <t>Cardboardite</t>
  </si>
  <si>
    <t>0.7x</t>
  </si>
  <si>
    <t>Aite</t>
  </si>
  <si>
    <t>Poopite</t>
  </si>
  <si>
    <t>1.2x</t>
  </si>
  <si>
    <t>Fichillium</t>
  </si>
  <si>
    <t>Cobalt</t>
  </si>
  <si>
    <t>Crit DMG Bonus %</t>
  </si>
  <si>
    <t>Titanium</t>
  </si>
  <si>
    <t>1.15x</t>
  </si>
  <si>
    <t>Volcanic Rock</t>
  </si>
  <si>
    <t>1.55x</t>
  </si>
  <si>
    <t>Lapis Lazuli</t>
  </si>
  <si>
    <t>1.3x</t>
  </si>
  <si>
    <t>Quartz</t>
  </si>
  <si>
    <t>1.5x</t>
  </si>
  <si>
    <t>Amethyst</t>
  </si>
  <si>
    <t>1.65x</t>
  </si>
  <si>
    <t>Topaz</t>
  </si>
  <si>
    <t>1.75x</t>
  </si>
  <si>
    <t>Diamond</t>
  </si>
  <si>
    <t>2x</t>
  </si>
  <si>
    <t>Sapphire</t>
  </si>
  <si>
    <t>2.25x</t>
  </si>
  <si>
    <t>Cuprite</t>
  </si>
  <si>
    <t>2.43x</t>
  </si>
  <si>
    <t>Obsidian</t>
  </si>
  <si>
    <t>2.35x</t>
  </si>
  <si>
    <t>Emerald</t>
  </si>
  <si>
    <t>Ruby</t>
  </si>
  <si>
    <t>2.95x</t>
  </si>
  <si>
    <t>Rivalite</t>
  </si>
  <si>
    <t>3.33x</t>
  </si>
  <si>
    <t>Uranium</t>
  </si>
  <si>
    <t>3x</t>
  </si>
  <si>
    <t>Mythril</t>
  </si>
  <si>
    <t>3.5x</t>
  </si>
  <si>
    <t>Eye Ore</t>
  </si>
  <si>
    <t>Fireite</t>
  </si>
  <si>
    <t>4.5x</t>
  </si>
  <si>
    <t>Burn damage stacks, burn chance does not stack.</t>
  </si>
  <si>
    <t>Magmaite</t>
  </si>
  <si>
    <t>Explosion damage stacks but chance does not</t>
  </si>
  <si>
    <t>Lightite</t>
  </si>
  <si>
    <t>4.6x</t>
  </si>
  <si>
    <t>Demonite</t>
  </si>
  <si>
    <t>Darkryte</t>
  </si>
  <si>
    <t>6.3x</t>
  </si>
  <si>
    <t>Boneite</t>
  </si>
  <si>
    <t>Dark Boneite</t>
  </si>
  <si>
    <t>Slimite</t>
  </si>
  <si>
    <t>Green Crystal</t>
  </si>
  <si>
    <t>3.2x</t>
  </si>
  <si>
    <t>Magenta Crystal</t>
  </si>
  <si>
    <t>3.1x</t>
  </si>
  <si>
    <t>Orange Crystal</t>
  </si>
  <si>
    <t>Crimson Crystal</t>
  </si>
  <si>
    <t>3.3x</t>
  </si>
  <si>
    <t>Blue Crystal</t>
  </si>
  <si>
    <t>3.4x</t>
  </si>
  <si>
    <t>Rainbow Crystal</t>
  </si>
  <si>
    <t>Atk Speed Bonus %</t>
  </si>
  <si>
    <t>5.25x</t>
  </si>
  <si>
    <t>Arcane Crystal</t>
  </si>
  <si>
    <t>Grass</t>
  </si>
  <si>
    <t>0.1x</t>
  </si>
  <si>
    <t>Tungsten</t>
  </si>
  <si>
    <t>1.95x</t>
  </si>
  <si>
    <t>Sulfur</t>
  </si>
  <si>
    <t>2.1x</t>
  </si>
  <si>
    <t>Pumice</t>
  </si>
  <si>
    <t>2.2x</t>
  </si>
  <si>
    <t>Scheelite</t>
  </si>
  <si>
    <t>2.8x</t>
  </si>
  <si>
    <t>Larimar</t>
  </si>
  <si>
    <t>Neurotite</t>
  </si>
  <si>
    <t>Tide Carve</t>
  </si>
  <si>
    <t>Mistvein</t>
  </si>
  <si>
    <t>5.4x</t>
  </si>
  <si>
    <t>Lagarite</t>
  </si>
  <si>
    <t>5.7x</t>
  </si>
  <si>
    <t>Voidfractal</t>
  </si>
  <si>
    <t>Moltenfrost</t>
  </si>
  <si>
    <t>EXTRA TRAITS</t>
  </si>
  <si>
    <t>Aqujade</t>
  </si>
  <si>
    <t>6.75x</t>
  </si>
  <si>
    <t>Cryptex</t>
  </si>
  <si>
    <t>7x</t>
  </si>
  <si>
    <t>Stat Bonuses (from ore traits)</t>
  </si>
  <si>
    <t>Galestor</t>
  </si>
  <si>
    <t>Moon Bonus % (multiplicative)</t>
  </si>
  <si>
    <t>Seedheart</t>
  </si>
  <si>
    <t>Viridite</t>
  </si>
  <si>
    <t>Star Dust</t>
  </si>
  <si>
    <t>2.5x</t>
  </si>
  <si>
    <t>Yin</t>
  </si>
  <si>
    <t>Berserk Bonus %</t>
  </si>
  <si>
    <t>Vitality stacks infinitely
Berserker Damage/Movespeed stacks, rest does not</t>
  </si>
  <si>
    <t>Yang</t>
  </si>
  <si>
    <t>Critical Chance stacks to 100%
Critical Damage stacks to 100%</t>
  </si>
  <si>
    <t>On-Hit Traits</t>
  </si>
  <si>
    <t>13.33x</t>
  </si>
  <si>
    <t>Kyomutite</t>
  </si>
  <si>
    <t>13.9x</t>
  </si>
  <si>
    <t>Explosion DMG (% of base weapon dmg)</t>
  </si>
  <si>
    <t>Oni Mask</t>
  </si>
  <si>
    <t>14.5x</t>
  </si>
  <si>
    <t>Takiseki</t>
  </si>
  <si>
    <t>14.7x</t>
  </si>
  <si>
    <t>Kokorite</t>
  </si>
  <si>
    <t>14.75x</t>
  </si>
  <si>
    <t>Lethality stacks up to 150%
Negative traits stack with the same effects
Berserker Damage/Movespeed stacks, rest does not</t>
  </si>
  <si>
    <t>Takenokoishi</t>
  </si>
  <si>
    <t>13.75x</t>
  </si>
  <si>
    <t>Negative traits stack with the same effects
Vitality stacks infinitely
Health Regeneration stacks up to 1000
Damage Reduction stacks, chance does not</t>
  </si>
  <si>
    <t>Dorabell</t>
  </si>
  <si>
    <t>Starite</t>
  </si>
  <si>
    <t>Luck stacks up to 1000%
Yield Chance stacks up to 100%</t>
  </si>
  <si>
    <t>Sakurite</t>
  </si>
  <si>
    <t>14.2x</t>
  </si>
  <si>
    <t>Jump Boost stacks up to 200%
Stride stacks up to 75%
Phase stacks up to 90%
Surge stacks up to 75%</t>
  </si>
  <si>
    <t>Ryuseki</t>
  </si>
  <si>
    <t>15.8x</t>
  </si>
  <si>
    <t>Ceyite</t>
  </si>
  <si>
    <t>16.5x</t>
  </si>
  <si>
    <t>Marblite</t>
  </si>
  <si>
    <t>18x</t>
  </si>
  <si>
    <t>Matter</t>
  </si>
  <si>
    <t>Explosion DMG (per proc)</t>
  </si>
  <si>
    <t>Anti Matter</t>
  </si>
  <si>
    <t>Sentira</t>
  </si>
  <si>
    <t>16.3x</t>
  </si>
  <si>
    <t>Explosion Proc Chance %</t>
  </si>
  <si>
    <t>Vitality stacks infinitely
Health Regeneration stacks up to 1000
Only damage reduction stacks, chance does not
Thorn Damage stacks infinitely, damage dealt caps at 5% max HP</t>
  </si>
  <si>
    <t>Singularity</t>
  </si>
  <si>
    <t>12.75x</t>
  </si>
  <si>
    <t>Wolfarite</t>
  </si>
  <si>
    <t>15.48x</t>
  </si>
  <si>
    <t>Attack Speed stacks up to 150%
Lethality stacks up to 150%
Swftness stacks infinitely
Negative traits stack with the same effects</t>
  </si>
  <si>
    <t>Supermassive Black Hole</t>
  </si>
  <si>
    <t>Explosion Damage stacks, chance does not
Burn Damage stacks, chance and duration do not</t>
  </si>
  <si>
    <t>Yin-Yang</t>
  </si>
  <si>
    <t>13.5x</t>
  </si>
  <si>
    <t>Critical Chance stacks up to 100%
Critical Damage stacks up to 100%
Vitality stacks infinitely
Berserker Damage/Movespeed stacks, rest does not</t>
  </si>
  <si>
    <t>Galaxite</t>
  </si>
  <si>
    <t>25x</t>
  </si>
  <si>
    <t>the Black Hole traits exists only once currently
Critical Chance stacks up to 100%
Critical Damage stacks up to 100%
Vitality stacks infinitely
Health Regeneration stacks up to 1000
Damage Reduction stacks, chance does not
Thorn Damage stacks infinitely, damage dealt caps at 5% max HP</t>
  </si>
  <si>
    <t>Explosion DPS</t>
  </si>
  <si>
    <t>Fire DoT (Race included)</t>
  </si>
  <si>
    <t>Fire DMG (% base weapon dmg)</t>
  </si>
  <si>
    <t>Fire DMG per second (per proc)</t>
  </si>
  <si>
    <t>Note: Fire duration takes in consideration the moment it is applied, so the real timer is the one shown here (-1s included)</t>
  </si>
  <si>
    <t>Fire Proc Chance %</t>
  </si>
  <si>
    <t>Fire DPS</t>
  </si>
  <si>
    <t>Fire Duration (seconds)</t>
  </si>
  <si>
    <t>Fire total DMG (per proc)</t>
  </si>
  <si>
    <t xml:space="preserve">Poison DoT </t>
  </si>
  <si>
    <t>Poison DMG (% base weapon dmg)</t>
  </si>
  <si>
    <t>Poison DMG per second (per proc)</t>
  </si>
  <si>
    <t>Note: Poison duration takes in consideration the moment it is applied, so the real timer is the one shown (-2s included)</t>
  </si>
  <si>
    <t xml:space="preserve">Poison Proc Chance % </t>
  </si>
  <si>
    <t>Poison DPS</t>
  </si>
  <si>
    <t xml:space="preserve">Poison Duration (seconds) </t>
  </si>
  <si>
    <t>Poison total DMG (per proc)</t>
  </si>
  <si>
    <t>Smite (Race Included)</t>
  </si>
  <si>
    <t>Smite DMG %</t>
  </si>
  <si>
    <t>Smite DMG (per proc)</t>
  </si>
  <si>
    <t>Smite Chance %</t>
  </si>
  <si>
    <t>Smite DPS</t>
  </si>
  <si>
    <t>Black Hole DMG</t>
  </si>
  <si>
    <t>Black Hole DMG (% of base weapon dmg)</t>
  </si>
  <si>
    <t>Black Hole DMG (per proc)</t>
  </si>
  <si>
    <t>Black Hole Proc Chance %</t>
  </si>
  <si>
    <t>Black Hole DPS</t>
  </si>
  <si>
    <t>Achievements</t>
  </si>
  <si>
    <t>Achievement</t>
  </si>
  <si>
    <t>Total (all sources and cap included)</t>
  </si>
  <si>
    <t>DPS RESULTS</t>
  </si>
  <si>
    <t>Source</t>
  </si>
  <si>
    <t>DPS</t>
  </si>
  <si>
    <t>Detail</t>
  </si>
  <si>
    <t>Physical Hit DPS</t>
  </si>
  <si>
    <t>Avg dmg/hit × hits/sec</t>
  </si>
  <si>
    <t>Base DMG × explosion% × chance × hits/sec</t>
  </si>
  <si>
    <t>Fire DoT DPS (refreshing)</t>
  </si>
  <si>
    <t>Active as long as proc'd  (1 instance)</t>
  </si>
  <si>
    <t>Poison DoT DPS (refreshing)</t>
  </si>
  <si>
    <t>Heavenite DPS</t>
  </si>
  <si>
    <t>Base dmg × heavenite% × chance × hits/sec</t>
  </si>
  <si>
    <t>TOTAL AVERAGE DPS</t>
  </si>
  <si>
    <t>Average TTK Golem 25,000 HP</t>
  </si>
  <si>
    <t>TOTAL BERSERK DPS</t>
  </si>
  <si>
    <t>Average TTK Asura's Incarnate 75,000 HP</t>
  </si>
  <si>
    <t>TOTAL MOON STONE DPS</t>
  </si>
  <si>
    <t>Min DPS (base hits only, no crit)</t>
  </si>
  <si>
    <t>Max Burst DPS (all crit + all proc)</t>
  </si>
  <si>
    <t>📌  Explosion, Heavenite, Fire DoT and Poison DoT use weapon damage only and do not crit or scale with lethality bonus</t>
  </si>
  <si>
    <r>
      <rPr>
        <rFont val="Times New Roman"/>
        <i/>
        <color rgb="FF5C5070"/>
        <sz val="9.0"/>
      </rPr>
      <t xml:space="preserve">Thank you to </t>
    </r>
    <r>
      <rPr>
        <rFont val="Times New Roman"/>
        <b/>
        <i/>
        <color rgb="FF5C5070"/>
        <sz val="9.0"/>
      </rPr>
      <t>thriller</t>
    </r>
    <r>
      <rPr>
        <rFont val="Times New Roman"/>
        <i/>
        <color rgb="FF5C5070"/>
        <sz val="9.0"/>
      </rPr>
      <t xml:space="preserve"> and </t>
    </r>
    <r>
      <rPr>
        <rFont val="Times New Roman"/>
        <b/>
        <i/>
        <color rgb="FF5C5070"/>
        <sz val="9.0"/>
      </rPr>
      <t>forger.justice</t>
    </r>
    <r>
      <rPr>
        <rFont val="Times New Roman"/>
        <i/>
        <color rgb="FF5C5070"/>
        <sz val="9.0"/>
      </rPr>
      <t xml:space="preserve"> for the original project, credits to </t>
    </r>
    <r>
      <rPr>
        <rFont val="Times New Roman"/>
        <b/>
        <i/>
        <color rgb="FF5C5070"/>
        <sz val="9.0"/>
      </rPr>
      <t>zach.08ll</t>
    </r>
    <r>
      <rPr>
        <rFont val="Times New Roman"/>
        <i/>
        <color rgb="FF5C5070"/>
        <sz val="9.0"/>
      </rPr>
      <t xml:space="preserve"> for his weapon guide sheet</t>
    </r>
  </si>
  <si>
    <t>OreName</t>
  </si>
  <si>
    <t>IsWeapon</t>
  </si>
  <si>
    <t>Trait10_text</t>
  </si>
  <si>
    <t>Trait30_text</t>
  </si>
  <si>
    <t>+1.75% Lethality | -0.5% Swiftness</t>
  </si>
  <si>
    <t>+17.5% Lethality | -5% Swiftness</t>
  </si>
  <si>
    <t>Active List</t>
  </si>
  <si>
    <t>+2% Lethality</t>
  </si>
  <si>
    <t>+20% Lethality</t>
  </si>
  <si>
    <t>Deals +1% of weapon damage as poison per second for 0.3 seconds. 3.3% chance on hit</t>
  </si>
  <si>
    <t>Deals +10% of weapon damage as poison per second for 3 seconds. 33% chance on hit</t>
  </si>
  <si>
    <t>+2% Critical Chance | +0.5% Critical Damage | Freeze enemies for 0.2 seconds. 1.5% chance on hit. Has cooldown of 15</t>
  </si>
  <si>
    <t>+20% Critical Chance | +5% Critical Damage | Freeze enemies for 2 seconds. 15% chance on hit. Has cooldown of 15</t>
  </si>
  <si>
    <t>Slows enemies by 1.5% for 0.3s with 3% chance on hit</t>
  </si>
  <si>
    <t>Slows enemies by 15% for 3s with 30% chance on hit</t>
  </si>
  <si>
    <t>+2.5% Moonboost (Physical Damage at night time)</t>
  </si>
  <si>
    <t>+25% Moonboost (Physical Damage at night time)</t>
  </si>
  <si>
    <t>+3.3% Crit Chance | +1.5% Crit Damage | -1.5% Vitality</t>
  </si>
  <si>
    <t>+33% Crit Chance | +15% Crit Damage | -15% Vitality</t>
  </si>
  <si>
    <t>+3% Critical Chance | +1% Critical Damage | +1% Attack Speed</t>
  </si>
  <si>
    <t>+30% Critical Chance | +10% Critical Damage | +10% Attack Speed</t>
  </si>
  <si>
    <t>Freeze enemies for 0.2 seconds. 2.5% chance on hit. Has cooldown of 12sec</t>
  </si>
  <si>
    <t>Freeze enemies for 2 seconds. 25% chance on hit. Has cooldown of 12sec</t>
  </si>
  <si>
    <t>+4% Critical Chance | +1.5% Critical Damage | Slows enemies by 2.5% for 0.3s with 2.5% chance on hit</t>
  </si>
  <si>
    <t>+40% Critical Chance | +15% Critical Damage | Slows enemies by 25% for 3s with 25% chance on hit</t>
  </si>
  <si>
    <t>+0.7% Life Steal</t>
  </si>
  <si>
    <t>+7% Life Steal</t>
  </si>
  <si>
    <t>+2.5% of weapon damage done as smite, 4% chance on hit</t>
  </si>
  <si>
    <t>+25% of weapon damage done as smite, 40% chance on hit</t>
  </si>
  <si>
    <t>3.5% Chance for 5% weapon damage AOE Explosion | Deals 2% of weapon damage as fire per second for 0.2s (2% chance)</t>
  </si>
  <si>
    <t>35% Chance for 50% weapon damage AOE Explosion | Deals 20% of weapon damage as fire per second for 2s (20% chance)</t>
  </si>
  <si>
    <t>+3% Lethality | -2% Vitality | -1% Stamina | -1.5% Movement Speed | (Armor only) +2% Physical Damage and +2% Movement Speed for 0.6 seconds when HP drops below 35%</t>
  </si>
  <si>
    <t>+30% Lethality | -20% Vitality | -10% Stamina | -15% Movement Speed | +20% Physical Damage and +20% Movement Speed for 6 seconds when HP drops below 35%</t>
  </si>
  <si>
    <t>+3.5% Critical Chance | +1.75% Critical Damage</t>
  </si>
  <si>
    <t>+35% Critical Chance | +17.5% Critical Damage</t>
  </si>
  <si>
    <t>Deals 3.5% of weapon damage as fire per second for 0.5s (3.5% chance)</t>
  </si>
  <si>
    <t>Deals 35% of weapon damage as fire per second for 5s (35% chance)</t>
  </si>
  <si>
    <t>2.5% Chance for 6% weapon damage AOE Explosion</t>
  </si>
  <si>
    <t>25% Chance for 60% weapon damage AOE Explosion</t>
  </si>
  <si>
    <t>+4% Critical Chance | +1.8% Critical Damage | Deals 4.5% of weapon damage as fire per second for 0.5s (4% chance)</t>
  </si>
  <si>
    <t>+40% Critical Chance | +18% Critical Damage | Deals 45% of weapon damage as fire per second for 5s (40% chance)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</si>
</sst>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0.0%"/>
    <numFmt numFmtId="167" formatCode="0.00&quot; s&quot;"/>
  </numFmts>
  <fonts count="58">
    <font>
      <sz val="11.0"/>
      <color theme="1"/>
      <name val="Calibri"/>
      <scheme val="minor"/>
    </font>
    <font>
      <color rgb="FFD4D0E0"/>
      <name val="Times New Roman"/>
    </font>
    <font>
      <sz val="11.0"/>
      <color theme="1"/>
      <name val="Calibri"/>
    </font>
    <font>
      <color theme="1"/>
      <name val="Calibri"/>
    </font>
    <font>
      <b/>
      <sz val="15.0"/>
      <color rgb="FFF0E6F0"/>
      <name val="Arial"/>
    </font>
    <font>
      <sz val="11.0"/>
      <color theme="1"/>
      <name val="Times New Roman"/>
    </font>
    <font>
      <b/>
      <sz val="9.0"/>
      <color rgb="FFFFFFFF"/>
      <name val="Calibri"/>
    </font>
    <font>
      <color rgb="FFF3F3F3"/>
      <name val="Times New Roman"/>
    </font>
    <font>
      <color rgb="FFD9D9D9"/>
      <name val="Times New Roman"/>
    </font>
    <font>
      <sz val="11.0"/>
      <color rgb="FFD4D0E0"/>
      <name val="Times New Roman"/>
    </font>
    <font>
      <sz val="9.0"/>
      <color rgb="FFFFFFFF"/>
      <name val="Calibri"/>
    </font>
    <font>
      <b/>
      <i/>
      <sz val="9.0"/>
      <color rgb="FF5C5070"/>
      <name val="Times New Roman"/>
    </font>
    <font>
      <b/>
      <sz val="9.0"/>
      <color rgb="FF5C5070"/>
      <name val="Calibri"/>
    </font>
    <font>
      <b/>
      <sz val="9.0"/>
      <color theme="1"/>
      <name val="Calibri"/>
    </font>
    <font>
      <color rgb="FF5C5070"/>
      <name val="Times New Roman"/>
    </font>
    <font>
      <u/>
      <sz val="9.0"/>
      <color rgb="FF5C5070"/>
      <name val="Times New Roman"/>
    </font>
    <font>
      <u/>
      <sz val="9.0"/>
      <color rgb="FF5C5070"/>
      <name val="Times New Roman"/>
    </font>
    <font>
      <sz val="11.0"/>
      <color rgb="FF5C5070"/>
      <name val="Times New Roman"/>
    </font>
    <font>
      <b/>
      <sz val="11.0"/>
      <color rgb="FF5C5070"/>
      <name val="Times New Roman"/>
    </font>
    <font>
      <b/>
      <sz val="11.0"/>
      <color rgb="FFF0E6F0"/>
      <name val="Times New Roman"/>
    </font>
    <font>
      <b/>
      <sz val="10.0"/>
      <color rgb="FFF7F2F7"/>
      <name val="Times New Roman"/>
    </font>
    <font>
      <b/>
      <color rgb="FFF79646"/>
      <name val="Times New Roman"/>
    </font>
    <font>
      <color rgb="FF6AA84F"/>
      <name val="Times New Roman"/>
    </font>
    <font>
      <sz val="11.0"/>
      <color rgb="FFFFFFFF"/>
      <name val="Times New Roman"/>
    </font>
    <font>
      <b/>
      <sz val="12.0"/>
      <color rgb="FF5C5070"/>
      <name val="Times New Roman"/>
    </font>
    <font>
      <b/>
      <color rgb="FF5C5070"/>
      <name val="Times New Roman"/>
    </font>
    <font>
      <sz val="12.0"/>
      <color rgb="FFD4D0E0"/>
      <name val="Times New Roman"/>
    </font>
    <font>
      <sz val="18.0"/>
      <color rgb="FFD4D0E0"/>
      <name val="Times New Roman"/>
    </font>
    <font>
      <color theme="1"/>
      <name val="Times New Roman"/>
    </font>
    <font>
      <b/>
      <color rgb="FF6AA84F"/>
      <name val="Times New Roman"/>
    </font>
    <font>
      <strike/>
      <color rgb="FFBDB8CC"/>
      <name val="Times New Roman"/>
    </font>
    <font>
      <b/>
      <color rgb="FFF7F2F7"/>
      <name val="Times New Roman"/>
    </font>
    <font>
      <b/>
      <sz val="10.0"/>
      <color rgb="FFF79646"/>
      <name val="Times New Roman"/>
    </font>
    <font>
      <b/>
      <sz val="11.0"/>
      <color rgb="FFF79646"/>
      <name val="Calibri"/>
    </font>
    <font>
      <b/>
      <sz val="9.0"/>
      <color rgb="FFF79646"/>
      <name val="Calibri"/>
    </font>
    <font>
      <sz val="9.0"/>
      <color rgb="FF5C5070"/>
      <name val="Montserrat"/>
    </font>
    <font/>
    <font>
      <color rgb="FFDEDBE8"/>
      <name val="Calibri"/>
    </font>
    <font>
      <sz val="10.0"/>
      <color rgb="FF5C5070"/>
      <name val="Times New Roman"/>
    </font>
    <font>
      <sz val="10.0"/>
      <color rgb="FF6AA84F"/>
      <name val="Times New Roman"/>
    </font>
    <font>
      <sz val="10.0"/>
      <color rgb="FF888090"/>
      <name val="Times New Roman"/>
    </font>
    <font>
      <color rgb="FF5C5070"/>
      <name val="Arial"/>
    </font>
    <font>
      <color theme="1"/>
      <name val="Arial"/>
    </font>
    <font>
      <b/>
      <sz val="11.0"/>
      <color theme="1"/>
      <name val="Arial"/>
    </font>
    <font>
      <b/>
      <sz val="11.0"/>
      <color rgb="FF5C5070"/>
      <name val="Arial"/>
    </font>
    <font>
      <sz val="11.0"/>
      <color rgb="FF5C5070"/>
      <name val="Arial"/>
    </font>
    <font>
      <sz val="10.0"/>
      <color rgb="FFDEDBE8"/>
      <name val="Times New Roman"/>
    </font>
    <font>
      <sz val="9.0"/>
      <color rgb="FF5C5070"/>
      <name val="Times New Roman"/>
    </font>
    <font>
      <sz val="11.0"/>
      <color rgb="FF6AA84F"/>
      <name val="Times New Roman"/>
    </font>
    <font>
      <sz val="10.0"/>
      <color theme="1"/>
      <name val="Calibri"/>
    </font>
    <font>
      <sz val="12.0"/>
      <color theme="1"/>
      <name val="Google Sans"/>
    </font>
    <font>
      <sz val="11.0"/>
      <color theme="1"/>
      <name val="Google Sans"/>
    </font>
    <font>
      <b/>
      <sz val="11.0"/>
      <color rgb="FFFFFFFF"/>
      <name val="Times New Roman"/>
    </font>
    <font>
      <i/>
      <sz val="10.0"/>
      <color rgb="FF5C5070"/>
      <name val="Times New Roman"/>
    </font>
    <font>
      <sz val="10.0"/>
      <color rgb="FF6AA84F"/>
      <name val="Calibri"/>
    </font>
    <font>
      <b/>
      <sz val="10.0"/>
      <color rgb="FFF0E6F0"/>
      <name val="Times New Roman"/>
    </font>
    <font>
      <b/>
      <sz val="10.0"/>
      <color rgb="FF4A3870"/>
      <name val="Times New Roman"/>
    </font>
    <font>
      <i/>
      <sz val="9.0"/>
      <color rgb="FF5C507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6B4F6B"/>
        <bgColor rgb="FF6B4F6B"/>
      </patternFill>
    </fill>
    <fill>
      <patternFill patternType="solid">
        <fgColor rgb="FFFFFFFF"/>
        <bgColor rgb="FFFFFFFF"/>
      </patternFill>
    </fill>
    <fill>
      <patternFill patternType="solid">
        <fgColor rgb="FFDEDBE8"/>
        <bgColor rgb="FFDEDBE8"/>
      </patternFill>
    </fill>
    <fill>
      <patternFill patternType="solid">
        <fgColor rgb="FFD4D0E0"/>
        <bgColor rgb="FFD4D0E0"/>
      </patternFill>
    </fill>
    <fill>
      <patternFill patternType="solid">
        <fgColor rgb="FF9E8DA0"/>
        <bgColor rgb="FF9E8DA0"/>
      </patternFill>
    </fill>
    <fill>
      <patternFill patternType="solid">
        <fgColor rgb="FFF7F2F7"/>
        <bgColor rgb="FFF7F2F7"/>
      </patternFill>
    </fill>
    <fill>
      <patternFill patternType="solid">
        <fgColor rgb="FFC8C4CC"/>
        <bgColor rgb="FFC8C4CC"/>
      </patternFill>
    </fill>
    <fill>
      <patternFill patternType="solid">
        <fgColor rgb="FFFDF6E3"/>
        <bgColor rgb="FFFDF6E3"/>
      </patternFill>
    </fill>
    <fill>
      <patternFill patternType="solid">
        <fgColor rgb="FFE8E2F5"/>
        <bgColor rgb="FFE8E2F5"/>
      </patternFill>
    </fill>
    <fill>
      <patternFill patternType="solid">
        <fgColor rgb="FFBDB8CC"/>
        <bgColor rgb="FFBDB8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8CC"/>
      </left>
      <right style="thin">
        <color rgb="FFBDB8CC"/>
      </right>
      <bottom style="thin">
        <color rgb="FFBDB8CC"/>
      </bottom>
    </border>
    <border>
      <left style="thin">
        <color rgb="FFBDB8CC"/>
      </left>
      <right style="thin">
        <color rgb="FFBDB8CC"/>
      </right>
      <top style="thin">
        <color rgb="FFBDB8CC"/>
      </top>
      <bottom style="thin">
        <color rgb="FFBDB8CC"/>
      </bottom>
    </border>
    <border>
      <left style="thin">
        <color rgb="FFBDB8CC"/>
      </left>
      <right style="thin">
        <color rgb="FFBDB8CC"/>
      </right>
      <top style="thin">
        <color rgb="FFBDB8CC"/>
      </top>
    </border>
    <border>
      <right style="thin">
        <color rgb="FFBDB8CC"/>
      </right>
    </border>
    <border>
      <left style="thin">
        <color rgb="FFBDB8CC"/>
      </left>
    </border>
    <border>
      <left style="thin">
        <color rgb="FFBDB8CC"/>
      </left>
      <right style="thin">
        <color rgb="FFBDB8CC"/>
      </right>
    </border>
    <border>
      <left style="thin">
        <color rgb="FFBDB8CC"/>
      </left>
      <top style="thin">
        <color rgb="FFBDB8CC"/>
      </top>
      <bottom style="thin">
        <color rgb="FFBDB8CC"/>
      </bottom>
    </border>
    <border>
      <right style="thin">
        <color rgb="FFBDB8CC"/>
      </right>
      <top style="thin">
        <color rgb="FFBDB8CC"/>
      </top>
      <bottom style="thin">
        <color rgb="FFBDB8CC"/>
      </bottom>
    </border>
    <border>
      <left style="thin">
        <color rgb="FFBDB8CC"/>
      </left>
      <bottom style="thin">
        <color rgb="FFBDB8CC"/>
      </bottom>
    </border>
    <border>
      <bottom style="thin">
        <color rgb="FFBDB8CC"/>
      </bottom>
    </border>
    <border>
      <right style="thin">
        <color rgb="FFBDB8CC"/>
      </right>
      <bottom style="thin">
        <color rgb="FFBDB8CC"/>
      </bottom>
    </border>
    <border>
      <left style="thin">
        <color rgb="FFD4D0E0"/>
      </left>
      <right style="thin">
        <color rgb="FFD4D0E0"/>
      </right>
      <top style="thin">
        <color rgb="FFD4D0E0"/>
      </top>
      <bottom style="thin">
        <color rgb="FFD4D0E0"/>
      </bottom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F79646"/>
      </bottom>
    </border>
    <border>
      <top style="thin">
        <color rgb="FFBDB8CC"/>
      </top>
      <bottom style="thin">
        <color rgb="FFBDB8CC"/>
      </bottom>
    </border>
    <border>
      <top style="thin">
        <color rgb="FFF79646"/>
      </top>
      <bottom style="thin">
        <color rgb="FFBDB8CC"/>
      </bottom>
    </border>
    <border>
      <top style="thin">
        <color rgb="FFBDB8CC"/>
      </top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shrinkToFit="0" wrapText="0"/>
    </xf>
    <xf borderId="0" fillId="0" fontId="2" numFmtId="0" xfId="0" applyAlignment="1" applyFont="1">
      <alignment vertical="bottom"/>
    </xf>
    <xf borderId="0" fillId="2" fontId="1" numFmtId="2" xfId="0" applyAlignment="1" applyFill="1" applyFont="1" applyNumberFormat="1">
      <alignment horizontal="center" shrinkToFit="0" wrapText="0"/>
    </xf>
    <xf borderId="0" fillId="0" fontId="3" numFmtId="0" xfId="0" applyFont="1"/>
    <xf borderId="0" fillId="2" fontId="4" numFmtId="0" xfId="0" applyAlignment="1" applyFont="1">
      <alignment horizontal="center" shrinkToFit="0" vertical="center" wrapText="1"/>
    </xf>
    <xf borderId="0" fillId="0" fontId="2" numFmtId="0" xfId="0" applyFont="1"/>
    <xf borderId="0" fillId="0" fontId="5" numFmtId="0" xfId="0" applyAlignment="1" applyFont="1">
      <alignment vertical="center"/>
    </xf>
    <xf borderId="1" fillId="2" fontId="6" numFmtId="0" xfId="0" applyAlignment="1" applyBorder="1" applyFont="1">
      <alignment horizontal="center"/>
    </xf>
    <xf borderId="0" fillId="0" fontId="7" numFmtId="2" xfId="0" applyAlignment="1" applyFont="1" applyNumberFormat="1">
      <alignment horizontal="center" shrinkToFit="0" wrapText="0"/>
    </xf>
    <xf borderId="1" fillId="2" fontId="6" numFmtId="0" xfId="0" applyAlignment="1" applyBorder="1" applyFont="1">
      <alignment horizontal="left"/>
    </xf>
    <xf borderId="0" fillId="0" fontId="8" numFmtId="2" xfId="0" applyAlignment="1" applyFont="1" applyNumberFormat="1">
      <alignment horizontal="center" shrinkToFit="0" wrapText="0"/>
    </xf>
    <xf borderId="0" fillId="2" fontId="9" numFmtId="2" xfId="0" applyAlignment="1" applyFont="1" applyNumberFormat="1">
      <alignment horizontal="center" shrinkToFit="0" wrapText="0"/>
    </xf>
    <xf borderId="0" fillId="3" fontId="10" numFmtId="0" xfId="0" applyAlignment="1" applyFill="1" applyFont="1">
      <alignment vertical="center"/>
    </xf>
    <xf borderId="0" fillId="2" fontId="6" numFmtId="0" xfId="0" applyAlignment="1" applyFont="1">
      <alignment horizontal="left"/>
    </xf>
    <xf borderId="0" fillId="0" fontId="9" numFmtId="2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4" fontId="11" numFmtId="0" xfId="0" applyAlignment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center"/>
    </xf>
    <xf borderId="0" fillId="6" fontId="1" numFmtId="2" xfId="0" applyAlignment="1" applyFill="1" applyFont="1" applyNumberFormat="1">
      <alignment horizontal="center" shrinkToFit="0" wrapText="0"/>
    </xf>
    <xf borderId="1" fillId="4" fontId="13" numFmtId="0" xfId="0" applyAlignment="1" applyBorder="1" applyFont="1">
      <alignment horizontal="center"/>
    </xf>
    <xf borderId="0" fillId="6" fontId="9" numFmtId="2" xfId="0" applyAlignment="1" applyFont="1" applyNumberFormat="1">
      <alignment horizontal="center" shrinkToFit="0" wrapText="0"/>
    </xf>
    <xf borderId="0" fillId="4" fontId="14" numFmtId="2" xfId="0" applyAlignment="1" applyFont="1" applyNumberFormat="1">
      <alignment horizontal="center" shrinkToFit="0" wrapText="0"/>
    </xf>
    <xf borderId="0" fillId="6" fontId="1" numFmtId="0" xfId="0" applyAlignment="1" applyFont="1">
      <alignment horizontal="center" shrinkToFit="0" wrapText="0"/>
    </xf>
    <xf borderId="0" fillId="4" fontId="15" numFmtId="0" xfId="0" applyAlignment="1" applyFont="1">
      <alignment horizontal="center"/>
    </xf>
    <xf borderId="0" fillId="4" fontId="16" numFmtId="0" xfId="0" applyAlignment="1" applyFont="1">
      <alignment horizontal="center" vertical="center"/>
    </xf>
    <xf borderId="0" fillId="4" fontId="17" numFmtId="2" xfId="0" applyAlignment="1" applyFont="1" applyNumberFormat="1">
      <alignment horizontal="center" shrinkToFit="0" wrapText="0"/>
    </xf>
    <xf borderId="0" fillId="0" fontId="5" numFmtId="0" xfId="0" applyAlignment="1" applyFont="1">
      <alignment shrinkToFit="0" vertical="center" wrapText="1"/>
    </xf>
    <xf borderId="0" fillId="4" fontId="14" numFmtId="0" xfId="0" applyAlignment="1" applyFont="1">
      <alignment horizontal="center" shrinkToFit="0" wrapText="0"/>
    </xf>
    <xf borderId="0" fillId="4" fontId="18" numFmtId="2" xfId="0" applyAlignment="1" applyFont="1" applyNumberFormat="1">
      <alignment horizontal="center" shrinkToFit="0" wrapText="0"/>
    </xf>
    <xf borderId="0" fillId="4" fontId="3" numFmtId="0" xfId="0" applyAlignment="1" applyFont="1">
      <alignment vertical="center"/>
    </xf>
    <xf borderId="0" fillId="4" fontId="18" numFmtId="0" xfId="0" applyAlignment="1" applyFont="1">
      <alignment horizontal="center" shrinkToFit="0" wrapText="0"/>
    </xf>
    <xf borderId="0" fillId="2" fontId="19" numFmtId="0" xfId="0" applyAlignment="1" applyFont="1">
      <alignment horizontal="center" shrinkToFit="0" vertical="center" wrapText="1"/>
    </xf>
    <xf borderId="0" fillId="6" fontId="20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vertical="center"/>
    </xf>
    <xf borderId="0" fillId="6" fontId="9" numFmtId="2" xfId="0" applyAlignment="1" applyFont="1" applyNumberFormat="1">
      <alignment horizontal="center" shrinkToFit="0" vertical="bottom" wrapText="0"/>
    </xf>
    <xf borderId="2" fillId="7" fontId="21" numFmtId="0" xfId="0" applyAlignment="1" applyBorder="1" applyFill="1" applyFont="1">
      <alignment readingOrder="0" vertical="center"/>
    </xf>
    <xf borderId="0" fillId="4" fontId="17" numFmtId="0" xfId="0" applyAlignment="1" applyFont="1">
      <alignment horizontal="center" shrinkToFit="0" wrapText="0"/>
    </xf>
    <xf borderId="2" fillId="7" fontId="2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2" fontId="9" numFmtId="2" xfId="0" applyAlignment="1" applyFont="1" applyNumberFormat="1">
      <alignment horizontal="center" shrinkToFit="0" vertical="bottom" wrapText="0"/>
    </xf>
    <xf borderId="0" fillId="4" fontId="24" numFmtId="2" xfId="0" applyAlignment="1" applyFont="1" applyNumberFormat="1">
      <alignment horizontal="center" shrinkToFit="0" wrapText="0"/>
    </xf>
    <xf borderId="3" fillId="7" fontId="21" numFmtId="0" xfId="0" applyAlignment="1" applyBorder="1" applyFont="1">
      <alignment readingOrder="0" vertical="center"/>
    </xf>
    <xf borderId="0" fillId="4" fontId="25" numFmtId="0" xfId="0" applyAlignment="1" applyFont="1">
      <alignment horizontal="center" shrinkToFit="0" wrapText="0"/>
    </xf>
    <xf borderId="3" fillId="7" fontId="22" numFmtId="0" xfId="0" applyAlignment="1" applyBorder="1" applyFont="1">
      <alignment vertical="center"/>
    </xf>
    <xf borderId="0" fillId="0" fontId="26" numFmtId="2" xfId="0" applyAlignment="1" applyFont="1" applyNumberFormat="1">
      <alignment horizontal="center" shrinkToFit="0" wrapText="0"/>
    </xf>
    <xf borderId="0" fillId="0" fontId="5" numFmtId="0" xfId="0" applyAlignment="1" applyFont="1">
      <alignment horizontal="left" shrinkToFit="0" vertical="center" wrapText="1"/>
    </xf>
    <xf borderId="0" fillId="0" fontId="27" numFmtId="2" xfId="0" applyAlignment="1" applyFont="1" applyNumberFormat="1">
      <alignment horizontal="center" shrinkToFit="0" wrapText="0"/>
    </xf>
    <xf borderId="3" fillId="7" fontId="21" numFmtId="1" xfId="0" applyAlignment="1" applyBorder="1" applyFont="1" applyNumberFormat="1">
      <alignment readingOrder="0" vertical="center"/>
    </xf>
    <xf borderId="0" fillId="4" fontId="25" numFmtId="2" xfId="0" applyAlignment="1" applyFont="1" applyNumberFormat="1">
      <alignment horizontal="center" shrinkToFit="0" wrapText="0"/>
    </xf>
    <xf borderId="0" fillId="6" fontId="26" numFmtId="2" xfId="0" applyAlignment="1" applyFont="1" applyNumberFormat="1">
      <alignment horizontal="center" shrinkToFit="0" wrapText="0"/>
    </xf>
    <xf borderId="4" fillId="7" fontId="21" numFmtId="0" xfId="0" applyAlignment="1" applyBorder="1" applyFont="1">
      <alignment readingOrder="0" vertical="center"/>
    </xf>
    <xf borderId="4" fillId="7" fontId="22" numFmtId="0" xfId="0" applyAlignment="1" applyBorder="1" applyFont="1">
      <alignment vertical="center"/>
    </xf>
    <xf borderId="0" fillId="0" fontId="1" numFmtId="2" xfId="0" applyAlignment="1" applyFont="1" applyNumberFormat="1">
      <alignment horizontal="center" shrinkToFit="0" vertical="bottom" wrapText="0"/>
    </xf>
    <xf borderId="4" fillId="8" fontId="28" numFmtId="0" xfId="0" applyAlignment="1" applyBorder="1" applyFill="1" applyFont="1">
      <alignment vertical="center"/>
    </xf>
    <xf borderId="4" fillId="7" fontId="29" numFmtId="1" xfId="0" applyAlignment="1" applyBorder="1" applyFont="1" applyNumberFormat="1">
      <alignment vertical="center"/>
    </xf>
    <xf borderId="4" fillId="7" fontId="29" numFmtId="0" xfId="0" applyAlignment="1" applyBorder="1" applyFont="1">
      <alignment vertical="center"/>
    </xf>
    <xf borderId="0" fillId="4" fontId="3" numFmtId="0" xfId="0" applyAlignment="1" applyFont="1">
      <alignment readingOrder="0" vertical="center"/>
    </xf>
    <xf borderId="0" fillId="0" fontId="9" numFmtId="2" xfId="0" applyAlignment="1" applyFont="1" applyNumberFormat="1">
      <alignment horizontal="center" shrinkToFit="0" vertical="bottom" wrapText="0"/>
    </xf>
    <xf borderId="0" fillId="5" fontId="30" numFmtId="0" xfId="0" applyAlignment="1" applyFont="1">
      <alignment horizontal="center" shrinkToFit="0" vertical="center" wrapText="0"/>
    </xf>
    <xf borderId="0" fillId="6" fontId="31" numFmtId="0" xfId="0" applyAlignment="1" applyFont="1">
      <alignment horizontal="center" vertical="center"/>
    </xf>
    <xf borderId="5" fillId="6" fontId="31" numFmtId="0" xfId="0" applyAlignment="1" applyBorder="1" applyFont="1">
      <alignment horizontal="center" vertical="center"/>
    </xf>
    <xf borderId="2" fillId="7" fontId="32" numFmtId="0" xfId="0" applyAlignment="1" applyBorder="1" applyFont="1">
      <alignment readingOrder="0" vertical="center"/>
    </xf>
    <xf borderId="0" fillId="2" fontId="9" numFmtId="0" xfId="0" applyAlignment="1" applyFont="1">
      <alignment horizontal="center" shrinkToFit="0" wrapText="0"/>
    </xf>
    <xf borderId="6" fillId="7" fontId="32" numFmtId="0" xfId="0" applyAlignment="1" applyBorder="1" applyFont="1">
      <alignment readingOrder="0" vertical="center"/>
    </xf>
    <xf borderId="0" fillId="0" fontId="9" numFmtId="0" xfId="0" applyAlignment="1" applyFont="1">
      <alignment horizontal="center" shrinkToFit="0" wrapText="0"/>
    </xf>
    <xf borderId="7" fillId="9" fontId="33" numFmtId="0" xfId="0" applyAlignment="1" applyBorder="1" applyFill="1" applyFont="1">
      <alignment readingOrder="0" vertical="center"/>
    </xf>
    <xf borderId="0" fillId="6" fontId="9" numFmtId="0" xfId="0" applyAlignment="1" applyFont="1">
      <alignment horizontal="center" shrinkToFit="0" wrapText="0"/>
    </xf>
    <xf borderId="8" fillId="9" fontId="34" numFmtId="0" xfId="0" applyAlignment="1" applyBorder="1" applyFont="1">
      <alignment readingOrder="0" vertical="center"/>
    </xf>
    <xf borderId="8" fillId="5" fontId="14" numFmtId="0" xfId="0" applyAlignment="1" applyBorder="1" applyFont="1">
      <alignment horizontal="right" readingOrder="0" vertical="center"/>
    </xf>
    <xf borderId="9" fillId="10" fontId="22" numFmtId="2" xfId="0" applyAlignment="1" applyBorder="1" applyFill="1" applyFont="1" applyNumberFormat="1">
      <alignment vertical="center"/>
    </xf>
    <xf borderId="10" fillId="7" fontId="35" numFmtId="0" xfId="0" applyAlignment="1" applyBorder="1" applyFont="1">
      <alignment shrinkToFit="0" vertical="center" wrapText="1"/>
    </xf>
    <xf borderId="11" fillId="0" fontId="36" numFmtId="0" xfId="0" applyBorder="1" applyFont="1"/>
    <xf borderId="12" fillId="0" fontId="36" numFmtId="0" xfId="0" applyBorder="1" applyFont="1"/>
    <xf borderId="0" fillId="4" fontId="37" numFmtId="2" xfId="0" applyAlignment="1" applyFont="1" applyNumberFormat="1">
      <alignment vertical="center"/>
    </xf>
    <xf borderId="0" fillId="5" fontId="38" numFmtId="0" xfId="0" applyAlignment="1" applyFont="1">
      <alignment horizontal="left" shrinkToFit="0" vertical="center" wrapText="1"/>
    </xf>
    <xf borderId="11" fillId="10" fontId="39" numFmtId="4" xfId="0" applyAlignment="1" applyBorder="1" applyFont="1" applyNumberFormat="1">
      <alignment horizontal="right" vertical="center"/>
    </xf>
    <xf borderId="12" fillId="10" fontId="39" numFmtId="164" xfId="0" applyAlignment="1" applyBorder="1" applyFont="1" applyNumberFormat="1">
      <alignment horizontal="right" vertical="center"/>
    </xf>
    <xf borderId="0" fillId="10" fontId="39" numFmtId="164" xfId="0" applyAlignment="1" applyFont="1" applyNumberFormat="1">
      <alignment horizontal="right" vertical="center"/>
    </xf>
    <xf borderId="12" fillId="10" fontId="39" numFmtId="4" xfId="0" applyAlignment="1" applyBorder="1" applyFont="1" applyNumberFormat="1">
      <alignment horizontal="right" vertical="center"/>
    </xf>
    <xf borderId="0" fillId="8" fontId="40" numFmtId="9" xfId="0" applyAlignment="1" applyFont="1" applyNumberFormat="1">
      <alignment horizontal="right" vertical="center"/>
    </xf>
    <xf borderId="0" fillId="9" fontId="3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12" fillId="10" fontId="39" numFmtId="164" xfId="0" applyAlignment="1" applyBorder="1" applyFont="1" applyNumberFormat="1">
      <alignment horizontal="right" shrinkToFit="0" vertical="center" wrapText="1"/>
    </xf>
    <xf borderId="0" fillId="0" fontId="28" numFmtId="2" xfId="0" applyAlignment="1" applyFont="1" applyNumberFormat="1">
      <alignment horizontal="center" shrinkToFit="0" wrapText="0"/>
    </xf>
    <xf borderId="0" fillId="6" fontId="9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shrinkToFit="0" wrapText="0"/>
    </xf>
    <xf borderId="0" fillId="11" fontId="17" numFmtId="2" xfId="0" applyAlignment="1" applyFill="1" applyFont="1" applyNumberFormat="1">
      <alignment horizontal="center" readingOrder="0" shrinkToFit="0" vertical="center" wrapText="0"/>
    </xf>
    <xf borderId="0" fillId="4" fontId="28" numFmtId="0" xfId="0" applyAlignment="1" applyFont="1">
      <alignment shrinkToFit="0" wrapText="0"/>
    </xf>
    <xf borderId="0" fillId="4" fontId="41" numFmtId="0" xfId="0" applyAlignment="1" applyFont="1">
      <alignment shrinkToFit="0" wrapText="0"/>
    </xf>
    <xf borderId="0" fillId="4" fontId="42" numFmtId="0" xfId="0" applyAlignment="1" applyFont="1">
      <alignment vertical="bottom"/>
    </xf>
    <xf borderId="0" fillId="0" fontId="3" numFmtId="0" xfId="0" applyAlignment="1" applyFont="1">
      <alignment shrinkToFit="0" wrapText="0"/>
    </xf>
    <xf borderId="0" fillId="0" fontId="43" numFmtId="2" xfId="0" applyAlignment="1" applyFont="1" applyNumberFormat="1">
      <alignment horizontal="center" shrinkToFit="0" vertical="center" wrapText="0"/>
    </xf>
    <xf borderId="0" fillId="11" fontId="17" numFmtId="2" xfId="0" applyAlignment="1" applyFont="1" applyNumberFormat="1">
      <alignment horizontal="center" shrinkToFit="0" vertical="center" wrapText="0"/>
    </xf>
    <xf borderId="0" fillId="4" fontId="17" numFmtId="2" xfId="0" applyAlignment="1" applyFont="1" applyNumberFormat="1">
      <alignment horizontal="center" shrinkToFit="0" vertical="center" wrapText="0"/>
    </xf>
    <xf borderId="0" fillId="4" fontId="18" numFmtId="0" xfId="0" applyAlignment="1" applyFont="1">
      <alignment horizontal="center" shrinkToFit="0" vertical="center" wrapText="0"/>
    </xf>
    <xf borderId="0" fillId="4" fontId="17" numFmtId="0" xfId="0" applyAlignment="1" applyFont="1">
      <alignment horizontal="center" shrinkToFit="0" vertical="center" wrapText="0"/>
    </xf>
    <xf borderId="0" fillId="4" fontId="44" numFmtId="0" xfId="0" applyAlignment="1" applyFont="1">
      <alignment horizontal="center" shrinkToFit="0" vertical="center" wrapText="0"/>
    </xf>
    <xf borderId="0" fillId="0" fontId="42" numFmtId="2" xfId="0" applyAlignment="1" applyFont="1" applyNumberFormat="1">
      <alignment horizontal="center" shrinkToFit="0" vertical="center" wrapText="0"/>
    </xf>
    <xf borderId="0" fillId="4" fontId="45" numFmtId="0" xfId="0" applyAlignment="1" applyFont="1">
      <alignment horizontal="center" shrinkToFit="0" vertical="center" wrapText="0"/>
    </xf>
    <xf borderId="0" fillId="4" fontId="46" numFmtId="0" xfId="0" applyAlignment="1" applyFont="1">
      <alignment vertical="center"/>
    </xf>
    <xf borderId="0" fillId="9" fontId="32" numFmtId="0" xfId="0" applyAlignment="1" applyFont="1">
      <alignment horizontal="left" shrinkToFit="0" vertical="center" wrapText="1"/>
    </xf>
    <xf borderId="0" fillId="4" fontId="47" numFmtId="0" xfId="0" applyAlignment="1" applyFont="1">
      <alignment shrinkToFit="0" vertical="center" wrapText="1"/>
    </xf>
    <xf borderId="0" fillId="6" fontId="1" numFmtId="2" xfId="0" applyAlignment="1" applyFont="1" applyNumberFormat="1">
      <alignment horizontal="center" shrinkToFit="0" vertical="bottom" wrapText="0"/>
    </xf>
    <xf borderId="0" fillId="4" fontId="14" numFmtId="0" xfId="0" applyAlignment="1" applyFont="1">
      <alignment horizontal="center" shrinkToFit="0" vertical="bottom" wrapText="0"/>
    </xf>
    <xf borderId="0" fillId="4" fontId="14" numFmtId="2" xfId="0" applyAlignment="1" applyFont="1" applyNumberFormat="1">
      <alignment horizontal="center" shrinkToFit="0" vertical="bottom" wrapText="0"/>
    </xf>
    <xf borderId="0" fillId="0" fontId="28" numFmtId="165" xfId="0" applyAlignment="1" applyFont="1" applyNumberFormat="1">
      <alignment horizontal="center" shrinkToFit="0" vertical="bottom" wrapText="0"/>
    </xf>
    <xf borderId="0" fillId="0" fontId="28" numFmtId="2" xfId="0" applyAlignment="1" applyFont="1" applyNumberFormat="1">
      <alignment horizontal="center" shrinkToFit="0" vertical="bottom" wrapText="0"/>
    </xf>
    <xf borderId="0" fillId="4" fontId="14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shrinkToFit="0" wrapText="0"/>
    </xf>
    <xf borderId="0" fillId="4" fontId="4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bottom" wrapText="0"/>
    </xf>
    <xf borderId="0" fillId="6" fontId="1" numFmtId="165" xfId="0" applyAlignment="1" applyFont="1" applyNumberFormat="1">
      <alignment horizontal="center" shrinkToFit="0" vertical="bottom" wrapText="0"/>
    </xf>
    <xf borderId="0" fillId="4" fontId="41" numFmtId="0" xfId="0" applyAlignment="1" applyFont="1">
      <alignment shrinkToFit="0" vertical="center" wrapText="0"/>
    </xf>
    <xf borderId="0" fillId="4" fontId="42" numFmtId="0" xfId="0" applyAlignment="1" applyFont="1">
      <alignment readingOrder="0" vertical="bottom"/>
    </xf>
    <xf borderId="0" fillId="5" fontId="48" numFmtId="0" xfId="0" applyAlignment="1" applyFont="1">
      <alignment horizontal="center" vertical="center"/>
    </xf>
    <xf borderId="0" fillId="5" fontId="17" numFmtId="0" xfId="0" applyAlignment="1" applyFont="1">
      <alignment vertical="center"/>
    </xf>
    <xf borderId="0" fillId="4" fontId="42" numFmtId="0" xfId="0" applyAlignment="1" applyFont="1">
      <alignment vertical="bottom"/>
    </xf>
    <xf borderId="0" fillId="4" fontId="46" numFmtId="0" xfId="0" applyAlignment="1" applyFont="1">
      <alignment horizontal="right" vertical="center"/>
    </xf>
    <xf borderId="0" fillId="4" fontId="49" numFmtId="0" xfId="0" applyAlignment="1" applyFont="1">
      <alignment vertical="center"/>
    </xf>
    <xf borderId="0" fillId="4" fontId="18" numFmtId="2" xfId="0" applyAlignment="1" applyFont="1" applyNumberFormat="1">
      <alignment horizontal="center" shrinkToFit="0" vertical="center" wrapText="0"/>
    </xf>
    <xf borderId="0" fillId="4" fontId="41" numFmtId="2" xfId="0" applyAlignment="1" applyFont="1" applyNumberFormat="1">
      <alignment shrinkToFit="0" vertical="center" wrapText="0"/>
    </xf>
    <xf borderId="0" fillId="4" fontId="46" numFmtId="0" xfId="0" applyAlignment="1" applyFont="1">
      <alignment horizontal="right" readingOrder="0" vertical="center"/>
    </xf>
    <xf borderId="0" fillId="6" fontId="1" numFmtId="165" xfId="0" applyAlignment="1" applyFont="1" applyNumberFormat="1">
      <alignment horizontal="center" readingOrder="0" shrinkToFit="0" vertical="bottom" wrapText="0"/>
    </xf>
    <xf borderId="0" fillId="6" fontId="20" numFmtId="0" xfId="0" applyAlignment="1" applyFont="1">
      <alignment horizontal="center" vertical="center"/>
    </xf>
    <xf borderId="0" fillId="4" fontId="45" numFmtId="2" xfId="0" applyAlignment="1" applyFont="1" applyNumberFormat="1">
      <alignment horizontal="center" shrinkToFit="0" vertical="center" wrapText="0"/>
    </xf>
    <xf borderId="0" fillId="5" fontId="38" numFmtId="0" xfId="0" applyAlignment="1" applyFont="1">
      <alignment shrinkToFit="0" vertical="center" wrapText="1"/>
    </xf>
    <xf borderId="13" fillId="7" fontId="32" numFmtId="9" xfId="0" applyAlignment="1" applyBorder="1" applyFont="1" applyNumberFormat="1">
      <alignment horizontal="right" vertical="center"/>
    </xf>
    <xf borderId="13" fillId="7" fontId="32" numFmtId="9" xfId="0" applyAlignment="1" applyBorder="1" applyFont="1" applyNumberFormat="1">
      <alignment horizontal="right" readingOrder="0" vertical="center"/>
    </xf>
    <xf borderId="0" fillId="5" fontId="38" numFmtId="0" xfId="0" applyAlignment="1" applyFont="1">
      <alignment vertical="center"/>
    </xf>
    <xf borderId="13" fillId="0" fontId="32" numFmtId="0" xfId="0" applyAlignment="1" applyBorder="1" applyFont="1">
      <alignment horizontal="right" vertical="center"/>
    </xf>
    <xf borderId="13" fillId="0" fontId="32" numFmtId="0" xfId="0" applyAlignment="1" applyBorder="1" applyFont="1">
      <alignment horizontal="right" readingOrder="0" vertical="center"/>
    </xf>
    <xf borderId="0" fillId="8" fontId="49" numFmtId="0" xfId="0" applyAlignment="1" applyFont="1">
      <alignment vertical="center"/>
    </xf>
    <xf borderId="0" fillId="5" fontId="38" numFmtId="0" xfId="0" applyAlignment="1" applyFont="1">
      <alignment horizontal="left" readingOrder="0" shrinkToFit="0" vertical="center" wrapText="1"/>
    </xf>
    <xf borderId="14" fillId="9" fontId="32" numFmtId="166" xfId="0" applyAlignment="1" applyBorder="1" applyFont="1" applyNumberFormat="1">
      <alignment horizontal="right" readingOrder="0" shrinkToFit="0" vertical="center" wrapText="1"/>
    </xf>
    <xf borderId="11" fillId="10" fontId="39" numFmtId="166" xfId="0" applyAlignment="1" applyBorder="1" applyFont="1" applyNumberFormat="1">
      <alignment horizontal="right" shrinkToFit="0" vertical="center" wrapText="1"/>
    </xf>
    <xf borderId="15" fillId="10" fontId="39" numFmtId="166" xfId="0" applyAlignment="1" applyBorder="1" applyFont="1" applyNumberFormat="1">
      <alignment horizontal="right" shrinkToFit="0" vertical="center" wrapText="1"/>
    </xf>
    <xf borderId="0" fillId="5" fontId="38" numFmtId="0" xfId="0" applyAlignment="1" applyFont="1">
      <alignment readingOrder="0" shrinkToFit="0" vertical="center" wrapText="1"/>
    </xf>
    <xf borderId="14" fillId="9" fontId="32" numFmtId="9" xfId="0" applyAlignment="1" applyBorder="1" applyFont="1" applyNumberFormat="1">
      <alignment readingOrder="0" vertical="center"/>
    </xf>
    <xf borderId="0" fillId="10" fontId="39" numFmtId="166" xfId="0" applyAlignment="1" applyFont="1" applyNumberFormat="1">
      <alignment vertical="center"/>
    </xf>
    <xf borderId="0" fillId="4" fontId="14" numFmtId="2" xfId="0" applyAlignment="1" applyFont="1" applyNumberFormat="1">
      <alignment horizontal="center" shrinkToFit="0" vertical="center" wrapText="0"/>
    </xf>
    <xf borderId="0" fillId="0" fontId="14" numFmtId="2" xfId="0" applyAlignment="1" applyFont="1" applyNumberFormat="1">
      <alignment horizontal="center" shrinkToFit="0" vertical="center" wrapText="0"/>
    </xf>
    <xf borderId="16" fillId="9" fontId="39" numFmtId="166" xfId="0" applyAlignment="1" applyBorder="1" applyFont="1" applyNumberFormat="1">
      <alignment horizontal="right" readingOrder="0" vertical="center"/>
    </xf>
    <xf borderId="15" fillId="10" fontId="39" numFmtId="166" xfId="0" applyAlignment="1" applyBorder="1" applyFont="1" applyNumberFormat="1">
      <alignment horizontal="right" vertical="center"/>
    </xf>
    <xf borderId="0" fillId="11" fontId="14" numFmtId="2" xfId="0" applyAlignment="1" applyFont="1" applyNumberFormat="1">
      <alignment horizontal="center" shrinkToFit="0" wrapText="0"/>
    </xf>
    <xf borderId="0" fillId="4" fontId="25" numFmtId="0" xfId="0" applyAlignment="1" applyFont="1">
      <alignment horizontal="center" shrinkToFit="0" vertical="bottom" wrapText="0"/>
    </xf>
    <xf borderId="0" fillId="4" fontId="41" numFmtId="0" xfId="0" applyAlignment="1" applyFont="1">
      <alignment horizontal="center" shrinkToFit="0" vertical="bottom" wrapText="0"/>
    </xf>
    <xf borderId="11" fillId="9" fontId="39" numFmtId="166" xfId="0" applyAlignment="1" applyBorder="1" applyFont="1" applyNumberFormat="1">
      <alignment horizontal="right" vertical="center"/>
    </xf>
    <xf borderId="0" fillId="4" fontId="41" numFmtId="2" xfId="0" applyAlignment="1" applyFont="1" applyNumberFormat="1">
      <alignment horizontal="center" shrinkToFit="0" wrapText="0"/>
    </xf>
    <xf borderId="0" fillId="0" fontId="28" numFmtId="0" xfId="0" applyAlignment="1" applyFont="1">
      <alignment horizontal="center" shrinkToFit="0" vertical="bottom" wrapText="0"/>
    </xf>
    <xf borderId="0" fillId="4" fontId="14" numFmtId="2" xfId="0" applyAlignment="1" applyFont="1" applyNumberFormat="1">
      <alignment horizontal="center" readingOrder="0" shrinkToFit="0" wrapText="0"/>
    </xf>
    <xf borderId="0" fillId="0" fontId="50" numFmtId="2" xfId="0" applyAlignment="1" applyFont="1" applyNumberFormat="1">
      <alignment shrinkToFit="0" wrapText="1"/>
    </xf>
    <xf borderId="0" fillId="0" fontId="51" numFmtId="2" xfId="0" applyAlignment="1" applyFont="1" applyNumberFormat="1">
      <alignment shrinkToFit="0" wrapText="1"/>
    </xf>
    <xf borderId="0" fillId="9" fontId="39" numFmtId="166" xfId="0" applyAlignment="1" applyFont="1" applyNumberFormat="1">
      <alignment horizontal="right" shrinkToFit="0" wrapText="0"/>
    </xf>
    <xf borderId="17" fillId="10" fontId="39" numFmtId="166" xfId="0" applyAlignment="1" applyBorder="1" applyFont="1" applyNumberFormat="1">
      <alignment horizontal="right" vertical="center"/>
    </xf>
    <xf borderId="0" fillId="2" fontId="52" numFmtId="0" xfId="0" applyAlignment="1" applyFont="1">
      <alignment horizontal="center" shrinkToFit="0" vertical="center" wrapText="1"/>
    </xf>
    <xf borderId="0" fillId="4" fontId="49" numFmtId="0" xfId="0" applyAlignment="1" applyFont="1">
      <alignment readingOrder="0" vertical="center"/>
    </xf>
    <xf borderId="10" fillId="6" fontId="20" numFmtId="0" xfId="0" applyAlignment="1" applyBorder="1" applyFont="1">
      <alignment horizontal="center" shrinkToFit="0" vertical="center" wrapText="1"/>
    </xf>
    <xf borderId="0" fillId="11" fontId="17" numFmtId="2" xfId="0" applyAlignment="1" applyFont="1" applyNumberFormat="1">
      <alignment horizontal="center" vertical="bottom"/>
    </xf>
    <xf borderId="0" fillId="4" fontId="42" numFmtId="2" xfId="0" applyAlignment="1" applyFont="1" applyNumberFormat="1">
      <alignment vertical="bottom"/>
    </xf>
    <xf borderId="0" fillId="4" fontId="18" numFmtId="2" xfId="0" applyAlignment="1" applyFont="1" applyNumberFormat="1">
      <alignment horizontal="center" vertical="bottom"/>
    </xf>
    <xf borderId="0" fillId="0" fontId="28" numFmtId="0" xfId="0" applyAlignment="1" applyFont="1">
      <alignment horizontal="center" shrinkToFit="0" wrapText="0"/>
    </xf>
    <xf borderId="0" fillId="11" fontId="17" numFmtId="2" xfId="0" applyAlignment="1" applyFont="1" applyNumberFormat="1">
      <alignment horizontal="center" shrinkToFit="0" vertical="bottom" wrapText="1"/>
    </xf>
    <xf borderId="0" fillId="4" fontId="18" numFmtId="2" xfId="0" applyAlignment="1" applyFont="1" applyNumberFormat="1">
      <alignment horizontal="center" shrinkToFit="0" vertical="bottom" wrapText="1"/>
    </xf>
    <xf borderId="0" fillId="9" fontId="39" numFmtId="9" xfId="0" applyAlignment="1" applyFont="1" applyNumberFormat="1">
      <alignment horizontal="right" vertical="center"/>
    </xf>
    <xf borderId="0" fillId="4" fontId="17" numFmtId="2" xfId="0" applyAlignment="1" applyFont="1" applyNumberFormat="1">
      <alignment horizontal="center" shrinkToFit="0" vertical="bottom" wrapText="1"/>
    </xf>
    <xf borderId="0" fillId="4" fontId="17" numFmtId="2" xfId="0" applyAlignment="1" applyFont="1" applyNumberFormat="1">
      <alignment shrinkToFit="0" vertical="bottom" wrapText="1"/>
    </xf>
    <xf borderId="14" fillId="9" fontId="32" numFmtId="166" xfId="0" applyAlignment="1" applyBorder="1" applyFont="1" applyNumberFormat="1">
      <alignment horizontal="right" vertical="center"/>
    </xf>
    <xf borderId="11" fillId="10" fontId="39" numFmtId="166" xfId="0" applyAlignment="1" applyBorder="1" applyFont="1" applyNumberFormat="1">
      <alignment horizontal="right" vertical="center"/>
    </xf>
    <xf borderId="6" fillId="6" fontId="49" numFmtId="0" xfId="0" applyAlignment="1" applyBorder="1" applyFont="1">
      <alignment vertical="center"/>
    </xf>
    <xf borderId="11" fillId="6" fontId="20" numFmtId="9" xfId="0" applyAlignment="1" applyBorder="1" applyFont="1" applyNumberFormat="1">
      <alignment horizontal="center" shrinkToFit="0" vertical="center" wrapText="1"/>
    </xf>
    <xf borderId="11" fillId="6" fontId="20" numFmtId="0" xfId="0" applyAlignment="1" applyBorder="1" applyFont="1">
      <alignment horizontal="center" shrinkToFit="0" vertical="center" wrapText="1"/>
    </xf>
    <xf borderId="12" fillId="6" fontId="20" numFmtId="4" xfId="0" applyAlignment="1" applyBorder="1" applyFont="1" applyNumberFormat="1">
      <alignment horizontal="center" shrinkToFit="0" vertical="center" wrapText="1"/>
    </xf>
    <xf borderId="0" fillId="4" fontId="17" numFmtId="2" xfId="0" applyAlignment="1" applyFont="1" applyNumberFormat="1">
      <alignment horizontal="center" readingOrder="0" shrinkToFit="0" vertical="bottom" wrapText="1"/>
    </xf>
    <xf borderId="11" fillId="9" fontId="39" numFmtId="9" xfId="0" applyAlignment="1" applyBorder="1" applyFont="1" applyNumberFormat="1">
      <alignment horizontal="right" vertical="center"/>
    </xf>
    <xf borderId="0" fillId="11" fontId="17" numFmtId="2" xfId="0" applyAlignment="1" applyFont="1" applyNumberFormat="1">
      <alignment horizontal="center" readingOrder="0" shrinkToFit="0" vertical="bottom" wrapText="1"/>
    </xf>
    <xf borderId="0" fillId="6" fontId="20" numFmtId="0" xfId="0" applyAlignment="1" applyFont="1">
      <alignment horizontal="center" readingOrder="0" shrinkToFit="0" vertical="center" wrapText="1"/>
    </xf>
    <xf borderId="0" fillId="4" fontId="53" numFmtId="0" xfId="0" applyAlignment="1" applyFont="1">
      <alignment horizontal="center" shrinkToFit="0" vertical="center" wrapText="1"/>
    </xf>
    <xf borderId="11" fillId="9" fontId="39" numFmtId="1" xfId="0" applyAlignment="1" applyBorder="1" applyFont="1" applyNumberFormat="1">
      <alignment horizontal="right" vertical="center"/>
    </xf>
    <xf borderId="0" fillId="4" fontId="5" numFmtId="0" xfId="0" applyAlignment="1" applyFont="1">
      <alignment vertical="center"/>
    </xf>
    <xf borderId="6" fillId="6" fontId="20" numFmtId="0" xfId="0" applyAlignment="1" applyBorder="1" applyFont="1">
      <alignment horizontal="center" readingOrder="0" vertical="center"/>
    </xf>
    <xf borderId="8" fillId="6" fontId="20" numFmtId="0" xfId="0" applyAlignment="1" applyBorder="1" applyFont="1">
      <alignment horizontal="center" shrinkToFit="0" vertical="center" wrapText="1"/>
    </xf>
    <xf borderId="15" fillId="0" fontId="36" numFmtId="0" xfId="0" applyBorder="1" applyFont="1"/>
    <xf borderId="9" fillId="0" fontId="36" numFmtId="0" xfId="0" applyBorder="1" applyFont="1"/>
    <xf borderId="17" fillId="6" fontId="20" numFmtId="0" xfId="0" applyAlignment="1" applyBorder="1" applyFont="1">
      <alignment horizontal="center" shrinkToFit="0" vertical="center" wrapText="1"/>
    </xf>
    <xf borderId="15" fillId="6" fontId="20" numFmtId="0" xfId="0" applyAlignment="1" applyBorder="1" applyFont="1">
      <alignment horizontal="center" shrinkToFit="0" vertical="center" wrapText="1"/>
    </xf>
    <xf borderId="9" fillId="6" fontId="20" numFmtId="0" xfId="0" applyAlignment="1" applyBorder="1" applyFont="1">
      <alignment horizontal="center" shrinkToFit="0" vertical="center" wrapText="1"/>
    </xf>
    <xf borderId="14" fillId="9" fontId="32" numFmtId="4" xfId="0" applyAlignment="1" applyBorder="1" applyFont="1" applyNumberFormat="1">
      <alignment readingOrder="0" shrinkToFit="0" vertical="center" wrapText="1"/>
    </xf>
    <xf borderId="15" fillId="10" fontId="39" numFmtId="4" xfId="0" applyAlignment="1" applyBorder="1" applyFont="1" applyNumberFormat="1">
      <alignment horizontal="right" vertical="center"/>
    </xf>
    <xf borderId="9" fillId="10" fontId="38" numFmtId="49" xfId="0" applyAlignment="1" applyBorder="1" applyFont="1" applyNumberFormat="1">
      <alignment horizontal="right" vertical="center"/>
    </xf>
    <xf borderId="17" fillId="10" fontId="39" numFmtId="4" xfId="0" applyAlignment="1" applyBorder="1" applyFont="1" applyNumberFormat="1">
      <alignment horizontal="right" vertical="center"/>
    </xf>
    <xf borderId="9" fillId="10" fontId="54" numFmtId="4" xfId="0" applyAlignment="1" applyBorder="1" applyFont="1" applyNumberFormat="1">
      <alignment vertical="center"/>
    </xf>
    <xf borderId="0" fillId="2" fontId="55" numFmtId="0" xfId="0" applyAlignment="1" applyFont="1">
      <alignment shrinkToFit="0" vertical="center" wrapText="1"/>
    </xf>
    <xf borderId="3" fillId="10" fontId="56" numFmtId="167" xfId="0" applyAlignment="1" applyBorder="1" applyFont="1" applyNumberFormat="1">
      <alignment horizontal="right" vertical="center"/>
    </xf>
    <xf borderId="0" fillId="5" fontId="38" numFmtId="4" xfId="0" applyAlignment="1" applyFont="1" applyNumberFormat="1">
      <alignment horizontal="right" vertical="center"/>
    </xf>
    <xf borderId="0" fillId="4" fontId="57" numFmtId="0" xfId="0" applyAlignment="1" applyFont="1">
      <alignment horizontal="center" shrinkToFit="0" vertical="center" wrapText="1"/>
    </xf>
    <xf borderId="0" fillId="4" fontId="57" numFmtId="0" xfId="0" applyAlignment="1" applyFont="1">
      <alignment horizontal="center" readingOrder="0" vertical="center"/>
    </xf>
    <xf borderId="0" fillId="0" fontId="49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0" fillId="0" fontId="57" numFmtId="0" xfId="0" applyAlignment="1" applyFont="1">
      <alignment readingOrder="0" vertical="top"/>
    </xf>
    <xf borderId="0" fillId="3" fontId="10" numFmtId="0" xfId="0" applyFon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8.png"/><Relationship Id="rId42" Type="http://schemas.openxmlformats.org/officeDocument/2006/relationships/image" Target="../media/image54.png"/><Relationship Id="rId41" Type="http://schemas.openxmlformats.org/officeDocument/2006/relationships/image" Target="../media/image29.png"/><Relationship Id="rId44" Type="http://schemas.openxmlformats.org/officeDocument/2006/relationships/image" Target="../media/image37.png"/><Relationship Id="rId43" Type="http://schemas.openxmlformats.org/officeDocument/2006/relationships/image" Target="../media/image42.png"/><Relationship Id="rId46" Type="http://schemas.openxmlformats.org/officeDocument/2006/relationships/image" Target="../media/image28.png"/><Relationship Id="rId45" Type="http://schemas.openxmlformats.org/officeDocument/2006/relationships/image" Target="../media/image22.png"/><Relationship Id="rId107" Type="http://schemas.openxmlformats.org/officeDocument/2006/relationships/image" Target="../media/image68.png"/><Relationship Id="rId106" Type="http://schemas.openxmlformats.org/officeDocument/2006/relationships/image" Target="../media/image122.png"/><Relationship Id="rId105" Type="http://schemas.openxmlformats.org/officeDocument/2006/relationships/image" Target="../media/image92.png"/><Relationship Id="rId104" Type="http://schemas.openxmlformats.org/officeDocument/2006/relationships/image" Target="../media/image61.png"/><Relationship Id="rId109" Type="http://schemas.openxmlformats.org/officeDocument/2006/relationships/image" Target="../media/image111.png"/><Relationship Id="rId108" Type="http://schemas.openxmlformats.org/officeDocument/2006/relationships/image" Target="../media/image66.png"/><Relationship Id="rId48" Type="http://schemas.openxmlformats.org/officeDocument/2006/relationships/image" Target="../media/image26.png"/><Relationship Id="rId47" Type="http://schemas.openxmlformats.org/officeDocument/2006/relationships/image" Target="../media/image56.png"/><Relationship Id="rId49" Type="http://schemas.openxmlformats.org/officeDocument/2006/relationships/image" Target="../media/image44.png"/><Relationship Id="rId103" Type="http://schemas.openxmlformats.org/officeDocument/2006/relationships/image" Target="../media/image93.png"/><Relationship Id="rId102" Type="http://schemas.openxmlformats.org/officeDocument/2006/relationships/image" Target="../media/image100.png"/><Relationship Id="rId101" Type="http://schemas.openxmlformats.org/officeDocument/2006/relationships/image" Target="../media/image64.png"/><Relationship Id="rId100" Type="http://schemas.openxmlformats.org/officeDocument/2006/relationships/image" Target="../media/image88.png"/><Relationship Id="rId31" Type="http://schemas.openxmlformats.org/officeDocument/2006/relationships/image" Target="../media/image12.png"/><Relationship Id="rId30" Type="http://schemas.openxmlformats.org/officeDocument/2006/relationships/image" Target="../media/image55.png"/><Relationship Id="rId33" Type="http://schemas.openxmlformats.org/officeDocument/2006/relationships/image" Target="../media/image8.png"/><Relationship Id="rId32" Type="http://schemas.openxmlformats.org/officeDocument/2006/relationships/image" Target="../media/image5.png"/><Relationship Id="rId35" Type="http://schemas.openxmlformats.org/officeDocument/2006/relationships/image" Target="../media/image53.png"/><Relationship Id="rId34" Type="http://schemas.openxmlformats.org/officeDocument/2006/relationships/image" Target="../media/image33.png"/><Relationship Id="rId37" Type="http://schemas.openxmlformats.org/officeDocument/2006/relationships/image" Target="../media/image63.png"/><Relationship Id="rId36" Type="http://schemas.openxmlformats.org/officeDocument/2006/relationships/image" Target="../media/image47.png"/><Relationship Id="rId39" Type="http://schemas.openxmlformats.org/officeDocument/2006/relationships/image" Target="../media/image32.png"/><Relationship Id="rId38" Type="http://schemas.openxmlformats.org/officeDocument/2006/relationships/image" Target="../media/image20.png"/><Relationship Id="rId20" Type="http://schemas.openxmlformats.org/officeDocument/2006/relationships/image" Target="../media/image1.png"/><Relationship Id="rId22" Type="http://schemas.openxmlformats.org/officeDocument/2006/relationships/image" Target="../media/image23.png"/><Relationship Id="rId21" Type="http://schemas.openxmlformats.org/officeDocument/2006/relationships/image" Target="../media/image6.png"/><Relationship Id="rId24" Type="http://schemas.openxmlformats.org/officeDocument/2006/relationships/image" Target="../media/image7.png"/><Relationship Id="rId23" Type="http://schemas.openxmlformats.org/officeDocument/2006/relationships/image" Target="../media/image40.png"/><Relationship Id="rId129" Type="http://schemas.openxmlformats.org/officeDocument/2006/relationships/image" Target="../media/image125.png"/><Relationship Id="rId128" Type="http://schemas.openxmlformats.org/officeDocument/2006/relationships/image" Target="../media/image109.png"/><Relationship Id="rId127" Type="http://schemas.openxmlformats.org/officeDocument/2006/relationships/image" Target="../media/image115.png"/><Relationship Id="rId126" Type="http://schemas.openxmlformats.org/officeDocument/2006/relationships/image" Target="../media/image137.png"/><Relationship Id="rId26" Type="http://schemas.openxmlformats.org/officeDocument/2006/relationships/image" Target="../media/image2.png"/><Relationship Id="rId121" Type="http://schemas.openxmlformats.org/officeDocument/2006/relationships/image" Target="../media/image108.png"/><Relationship Id="rId25" Type="http://schemas.openxmlformats.org/officeDocument/2006/relationships/image" Target="../media/image77.png"/><Relationship Id="rId120" Type="http://schemas.openxmlformats.org/officeDocument/2006/relationships/image" Target="../media/image120.png"/><Relationship Id="rId28" Type="http://schemas.openxmlformats.org/officeDocument/2006/relationships/image" Target="../media/image72.png"/><Relationship Id="rId27" Type="http://schemas.openxmlformats.org/officeDocument/2006/relationships/image" Target="../media/image48.png"/><Relationship Id="rId125" Type="http://schemas.openxmlformats.org/officeDocument/2006/relationships/image" Target="../media/image124.png"/><Relationship Id="rId29" Type="http://schemas.openxmlformats.org/officeDocument/2006/relationships/image" Target="../media/image27.png"/><Relationship Id="rId124" Type="http://schemas.openxmlformats.org/officeDocument/2006/relationships/image" Target="../media/image95.png"/><Relationship Id="rId123" Type="http://schemas.openxmlformats.org/officeDocument/2006/relationships/image" Target="../media/image79.png"/><Relationship Id="rId122" Type="http://schemas.openxmlformats.org/officeDocument/2006/relationships/image" Target="../media/image121.png"/><Relationship Id="rId95" Type="http://schemas.openxmlformats.org/officeDocument/2006/relationships/image" Target="../media/image59.png"/><Relationship Id="rId94" Type="http://schemas.openxmlformats.org/officeDocument/2006/relationships/image" Target="../media/image126.png"/><Relationship Id="rId97" Type="http://schemas.openxmlformats.org/officeDocument/2006/relationships/image" Target="../media/image113.png"/><Relationship Id="rId96" Type="http://schemas.openxmlformats.org/officeDocument/2006/relationships/image" Target="../media/image103.png"/><Relationship Id="rId11" Type="http://schemas.openxmlformats.org/officeDocument/2006/relationships/image" Target="../media/image46.png"/><Relationship Id="rId99" Type="http://schemas.openxmlformats.org/officeDocument/2006/relationships/image" Target="../media/image65.png"/><Relationship Id="rId10" Type="http://schemas.openxmlformats.org/officeDocument/2006/relationships/image" Target="../media/image60.png"/><Relationship Id="rId98" Type="http://schemas.openxmlformats.org/officeDocument/2006/relationships/image" Target="../media/image107.png"/><Relationship Id="rId13" Type="http://schemas.openxmlformats.org/officeDocument/2006/relationships/image" Target="../media/image62.png"/><Relationship Id="rId12" Type="http://schemas.openxmlformats.org/officeDocument/2006/relationships/image" Target="../media/image38.png"/><Relationship Id="rId91" Type="http://schemas.openxmlformats.org/officeDocument/2006/relationships/image" Target="../media/image110.png"/><Relationship Id="rId90" Type="http://schemas.openxmlformats.org/officeDocument/2006/relationships/image" Target="../media/image86.png"/><Relationship Id="rId93" Type="http://schemas.openxmlformats.org/officeDocument/2006/relationships/image" Target="../media/image133.png"/><Relationship Id="rId92" Type="http://schemas.openxmlformats.org/officeDocument/2006/relationships/image" Target="../media/image80.png"/><Relationship Id="rId118" Type="http://schemas.openxmlformats.org/officeDocument/2006/relationships/image" Target="../media/image106.png"/><Relationship Id="rId117" Type="http://schemas.openxmlformats.org/officeDocument/2006/relationships/image" Target="../media/image99.png"/><Relationship Id="rId116" Type="http://schemas.openxmlformats.org/officeDocument/2006/relationships/image" Target="../media/image140.png"/><Relationship Id="rId115" Type="http://schemas.openxmlformats.org/officeDocument/2006/relationships/image" Target="../media/image114.png"/><Relationship Id="rId119" Type="http://schemas.openxmlformats.org/officeDocument/2006/relationships/image" Target="../media/image102.png"/><Relationship Id="rId15" Type="http://schemas.openxmlformats.org/officeDocument/2006/relationships/image" Target="../media/image45.png"/><Relationship Id="rId110" Type="http://schemas.openxmlformats.org/officeDocument/2006/relationships/image" Target="../media/image101.png"/><Relationship Id="rId14" Type="http://schemas.openxmlformats.org/officeDocument/2006/relationships/image" Target="../media/image21.png"/><Relationship Id="rId17" Type="http://schemas.openxmlformats.org/officeDocument/2006/relationships/image" Target="../media/image13.png"/><Relationship Id="rId16" Type="http://schemas.openxmlformats.org/officeDocument/2006/relationships/image" Target="../media/image15.png"/><Relationship Id="rId19" Type="http://schemas.openxmlformats.org/officeDocument/2006/relationships/image" Target="../media/image43.png"/><Relationship Id="rId114" Type="http://schemas.openxmlformats.org/officeDocument/2006/relationships/image" Target="../media/image119.png"/><Relationship Id="rId18" Type="http://schemas.openxmlformats.org/officeDocument/2006/relationships/image" Target="../media/image9.png"/><Relationship Id="rId113" Type="http://schemas.openxmlformats.org/officeDocument/2006/relationships/image" Target="../media/image117.png"/><Relationship Id="rId112" Type="http://schemas.openxmlformats.org/officeDocument/2006/relationships/image" Target="../media/image98.png"/><Relationship Id="rId111" Type="http://schemas.openxmlformats.org/officeDocument/2006/relationships/image" Target="../media/image116.png"/><Relationship Id="rId84" Type="http://schemas.openxmlformats.org/officeDocument/2006/relationships/image" Target="../media/image74.png"/><Relationship Id="rId83" Type="http://schemas.openxmlformats.org/officeDocument/2006/relationships/image" Target="../media/image94.png"/><Relationship Id="rId86" Type="http://schemas.openxmlformats.org/officeDocument/2006/relationships/image" Target="../media/image91.png"/><Relationship Id="rId85" Type="http://schemas.openxmlformats.org/officeDocument/2006/relationships/image" Target="../media/image90.png"/><Relationship Id="rId88" Type="http://schemas.openxmlformats.org/officeDocument/2006/relationships/image" Target="../media/image104.png"/><Relationship Id="rId87" Type="http://schemas.openxmlformats.org/officeDocument/2006/relationships/image" Target="../media/image96.png"/><Relationship Id="rId89" Type="http://schemas.openxmlformats.org/officeDocument/2006/relationships/image" Target="../media/image84.png"/><Relationship Id="rId80" Type="http://schemas.openxmlformats.org/officeDocument/2006/relationships/image" Target="../media/image78.png"/><Relationship Id="rId82" Type="http://schemas.openxmlformats.org/officeDocument/2006/relationships/image" Target="../media/image67.png"/><Relationship Id="rId81" Type="http://schemas.openxmlformats.org/officeDocument/2006/relationships/image" Target="../media/image76.png"/><Relationship Id="rId1" Type="http://schemas.openxmlformats.org/officeDocument/2006/relationships/image" Target="../media/image39.png"/><Relationship Id="rId2" Type="http://schemas.openxmlformats.org/officeDocument/2006/relationships/image" Target="../media/image49.png"/><Relationship Id="rId3" Type="http://schemas.openxmlformats.org/officeDocument/2006/relationships/image" Target="../media/image50.png"/><Relationship Id="rId4" Type="http://schemas.openxmlformats.org/officeDocument/2006/relationships/image" Target="../media/image16.png"/><Relationship Id="rId9" Type="http://schemas.openxmlformats.org/officeDocument/2006/relationships/image" Target="../media/image19.png"/><Relationship Id="rId140" Type="http://schemas.openxmlformats.org/officeDocument/2006/relationships/image" Target="../media/image138.png"/><Relationship Id="rId5" Type="http://schemas.openxmlformats.org/officeDocument/2006/relationships/image" Target="../media/image24.png"/><Relationship Id="rId6" Type="http://schemas.openxmlformats.org/officeDocument/2006/relationships/image" Target="../media/image17.png"/><Relationship Id="rId7" Type="http://schemas.openxmlformats.org/officeDocument/2006/relationships/image" Target="../media/image4.png"/><Relationship Id="rId8" Type="http://schemas.openxmlformats.org/officeDocument/2006/relationships/image" Target="../media/image14.png"/><Relationship Id="rId73" Type="http://schemas.openxmlformats.org/officeDocument/2006/relationships/image" Target="../media/image139.png"/><Relationship Id="rId72" Type="http://schemas.openxmlformats.org/officeDocument/2006/relationships/image" Target="../media/image134.png"/><Relationship Id="rId75" Type="http://schemas.openxmlformats.org/officeDocument/2006/relationships/image" Target="../media/image82.png"/><Relationship Id="rId74" Type="http://schemas.openxmlformats.org/officeDocument/2006/relationships/image" Target="../media/image112.png"/><Relationship Id="rId77" Type="http://schemas.openxmlformats.org/officeDocument/2006/relationships/image" Target="../media/image73.png"/><Relationship Id="rId76" Type="http://schemas.openxmlformats.org/officeDocument/2006/relationships/image" Target="../media/image97.png"/><Relationship Id="rId79" Type="http://schemas.openxmlformats.org/officeDocument/2006/relationships/image" Target="../media/image70.png"/><Relationship Id="rId78" Type="http://schemas.openxmlformats.org/officeDocument/2006/relationships/image" Target="../media/image75.png"/><Relationship Id="rId71" Type="http://schemas.openxmlformats.org/officeDocument/2006/relationships/image" Target="../media/image128.png"/><Relationship Id="rId70" Type="http://schemas.openxmlformats.org/officeDocument/2006/relationships/image" Target="../media/image89.png"/><Relationship Id="rId139" Type="http://schemas.openxmlformats.org/officeDocument/2006/relationships/image" Target="../media/image130.png"/><Relationship Id="rId138" Type="http://schemas.openxmlformats.org/officeDocument/2006/relationships/image" Target="../media/image123.png"/><Relationship Id="rId137" Type="http://schemas.openxmlformats.org/officeDocument/2006/relationships/image" Target="../media/image131.png"/><Relationship Id="rId132" Type="http://schemas.openxmlformats.org/officeDocument/2006/relationships/image" Target="../media/image132.png"/><Relationship Id="rId131" Type="http://schemas.openxmlformats.org/officeDocument/2006/relationships/image" Target="../media/image135.png"/><Relationship Id="rId130" Type="http://schemas.openxmlformats.org/officeDocument/2006/relationships/image" Target="../media/image118.png"/><Relationship Id="rId136" Type="http://schemas.openxmlformats.org/officeDocument/2006/relationships/image" Target="../media/image127.png"/><Relationship Id="rId135" Type="http://schemas.openxmlformats.org/officeDocument/2006/relationships/image" Target="../media/image129.png"/><Relationship Id="rId134" Type="http://schemas.openxmlformats.org/officeDocument/2006/relationships/image" Target="../media/image136.png"/><Relationship Id="rId133" Type="http://schemas.openxmlformats.org/officeDocument/2006/relationships/image" Target="../media/image105.png"/><Relationship Id="rId62" Type="http://schemas.openxmlformats.org/officeDocument/2006/relationships/image" Target="../media/image69.png"/><Relationship Id="rId61" Type="http://schemas.openxmlformats.org/officeDocument/2006/relationships/image" Target="../media/image85.png"/><Relationship Id="rId64" Type="http://schemas.openxmlformats.org/officeDocument/2006/relationships/image" Target="../media/image34.png"/><Relationship Id="rId63" Type="http://schemas.openxmlformats.org/officeDocument/2006/relationships/image" Target="../media/image51.png"/><Relationship Id="rId66" Type="http://schemas.openxmlformats.org/officeDocument/2006/relationships/image" Target="../media/image52.png"/><Relationship Id="rId65" Type="http://schemas.openxmlformats.org/officeDocument/2006/relationships/image" Target="../media/image87.png"/><Relationship Id="rId68" Type="http://schemas.openxmlformats.org/officeDocument/2006/relationships/image" Target="../media/image71.png"/><Relationship Id="rId67" Type="http://schemas.openxmlformats.org/officeDocument/2006/relationships/image" Target="../media/image83.png"/><Relationship Id="rId60" Type="http://schemas.openxmlformats.org/officeDocument/2006/relationships/image" Target="../media/image3.png"/><Relationship Id="rId69" Type="http://schemas.openxmlformats.org/officeDocument/2006/relationships/image" Target="../media/image81.png"/><Relationship Id="rId51" Type="http://schemas.openxmlformats.org/officeDocument/2006/relationships/image" Target="../media/image58.png"/><Relationship Id="rId50" Type="http://schemas.openxmlformats.org/officeDocument/2006/relationships/image" Target="../media/image35.png"/><Relationship Id="rId53" Type="http://schemas.openxmlformats.org/officeDocument/2006/relationships/image" Target="../media/image25.png"/><Relationship Id="rId52" Type="http://schemas.openxmlformats.org/officeDocument/2006/relationships/image" Target="../media/image31.png"/><Relationship Id="rId55" Type="http://schemas.openxmlformats.org/officeDocument/2006/relationships/image" Target="../media/image30.png"/><Relationship Id="rId54" Type="http://schemas.openxmlformats.org/officeDocument/2006/relationships/image" Target="../media/image36.png"/><Relationship Id="rId57" Type="http://schemas.openxmlformats.org/officeDocument/2006/relationships/image" Target="../media/image10.png"/><Relationship Id="rId56" Type="http://schemas.openxmlformats.org/officeDocument/2006/relationships/image" Target="../media/image11.png"/><Relationship Id="rId59" Type="http://schemas.openxmlformats.org/officeDocument/2006/relationships/image" Target="../media/image57.png"/><Relationship Id="rId58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55</xdr:row>
      <xdr:rowOff>0</xdr:rowOff>
    </xdr:from>
    <xdr:ext cx="190500" cy="200025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200025" cy="200025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00025" cy="200025"/>
    <xdr:pic>
      <xdr:nvPicPr>
        <xdr:cNvPr id="0" name="image5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200025" cy="200025"/>
    <xdr:pic>
      <xdr:nvPicPr>
        <xdr:cNvPr id="0" name="image1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200025" cy="200025"/>
    <xdr:pic>
      <xdr:nvPicPr>
        <xdr:cNvPr id="0" name="image2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200025" cy="200025"/>
    <xdr:pic>
      <xdr:nvPicPr>
        <xdr:cNvPr id="0" name="image1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200025" cy="20002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200025" cy="200025"/>
    <xdr:pic>
      <xdr:nvPicPr>
        <xdr:cNvPr id="0" name="image1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200025" cy="200025"/>
    <xdr:pic>
      <xdr:nvPicPr>
        <xdr:cNvPr id="0" name="image1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200025" cy="200025"/>
    <xdr:pic>
      <xdr:nvPicPr>
        <xdr:cNvPr id="0" name="image6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200025" cy="200025"/>
    <xdr:pic>
      <xdr:nvPicPr>
        <xdr:cNvPr id="0" name="image4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200025" cy="200025"/>
    <xdr:pic>
      <xdr:nvPicPr>
        <xdr:cNvPr id="0" name="image3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0</xdr:rowOff>
    </xdr:from>
    <xdr:ext cx="200025" cy="200025"/>
    <xdr:pic>
      <xdr:nvPicPr>
        <xdr:cNvPr id="0" name="image6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200025" cy="200025"/>
    <xdr:pic>
      <xdr:nvPicPr>
        <xdr:cNvPr id="0" name="image2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200025" cy="200025"/>
    <xdr:pic>
      <xdr:nvPicPr>
        <xdr:cNvPr id="0" name="image4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200025" cy="200025"/>
    <xdr:pic>
      <xdr:nvPicPr>
        <xdr:cNvPr id="0" name="image1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200025" cy="200025"/>
    <xdr:pic>
      <xdr:nvPicPr>
        <xdr:cNvPr id="0" name="image1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200025" cy="2000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200025" cy="200025"/>
    <xdr:pic>
      <xdr:nvPicPr>
        <xdr:cNvPr id="0" name="image4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200025" cy="200025"/>
    <xdr:pic>
      <xdr:nvPicPr>
        <xdr:cNvPr id="0" name="image1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200025" cy="200025"/>
    <xdr:pic>
      <xdr:nvPicPr>
        <xdr:cNvPr id="0" name="image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0</xdr:rowOff>
    </xdr:from>
    <xdr:ext cx="200025" cy="200025"/>
    <xdr:pic>
      <xdr:nvPicPr>
        <xdr:cNvPr id="0" name="image2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200025" cy="200025"/>
    <xdr:pic>
      <xdr:nvPicPr>
        <xdr:cNvPr id="0" name="image4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00025" cy="200025"/>
    <xdr:pic>
      <xdr:nvPicPr>
        <xdr:cNvPr id="0" name="image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200025" cy="200025"/>
    <xdr:pic>
      <xdr:nvPicPr>
        <xdr:cNvPr id="0" name="image7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0</xdr:rowOff>
    </xdr:from>
    <xdr:ext cx="200025" cy="200025"/>
    <xdr:pic>
      <xdr:nvPicPr>
        <xdr:cNvPr id="0" name="image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0</xdr:rowOff>
    </xdr:from>
    <xdr:ext cx="200025" cy="200025"/>
    <xdr:pic>
      <xdr:nvPicPr>
        <xdr:cNvPr id="0" name="image4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200025" cy="200025"/>
    <xdr:pic>
      <xdr:nvPicPr>
        <xdr:cNvPr id="0" name="image7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0</xdr:rowOff>
    </xdr:from>
    <xdr:ext cx="200025" cy="200025"/>
    <xdr:pic>
      <xdr:nvPicPr>
        <xdr:cNvPr id="0" name="image2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0</xdr:rowOff>
    </xdr:from>
    <xdr:ext cx="200025" cy="200025"/>
    <xdr:pic>
      <xdr:nvPicPr>
        <xdr:cNvPr id="0" name="image5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200025" cy="200025"/>
    <xdr:pic>
      <xdr:nvPicPr>
        <xdr:cNvPr id="0" name="image12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200025" cy="200025"/>
    <xdr:pic>
      <xdr:nvPicPr>
        <xdr:cNvPr id="0" name="image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180975" cy="200025"/>
    <xdr:pic>
      <xdr:nvPicPr>
        <xdr:cNvPr id="0" name="image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266700" cy="200025"/>
    <xdr:pic>
      <xdr:nvPicPr>
        <xdr:cNvPr id="0" name="image3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200025" cy="200025"/>
    <xdr:pic>
      <xdr:nvPicPr>
        <xdr:cNvPr id="0" name="image53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200025" cy="200025"/>
    <xdr:pic>
      <xdr:nvPicPr>
        <xdr:cNvPr id="0" name="image4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0</xdr:rowOff>
    </xdr:from>
    <xdr:ext cx="200025" cy="200025"/>
    <xdr:pic>
      <xdr:nvPicPr>
        <xdr:cNvPr id="0" name="image6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0</xdr:rowOff>
    </xdr:from>
    <xdr:ext cx="200025" cy="200025"/>
    <xdr:pic>
      <xdr:nvPicPr>
        <xdr:cNvPr id="0" name="image2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0</xdr:rowOff>
    </xdr:from>
    <xdr:ext cx="200025" cy="200025"/>
    <xdr:pic>
      <xdr:nvPicPr>
        <xdr:cNvPr id="0" name="image32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200025" cy="200025"/>
    <xdr:pic>
      <xdr:nvPicPr>
        <xdr:cNvPr id="0" name="image1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0</xdr:rowOff>
    </xdr:from>
    <xdr:ext cx="200025" cy="200025"/>
    <xdr:pic>
      <xdr:nvPicPr>
        <xdr:cNvPr id="0" name="image2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0</xdr:rowOff>
    </xdr:from>
    <xdr:ext cx="171450" cy="200025"/>
    <xdr:pic>
      <xdr:nvPicPr>
        <xdr:cNvPr id="0" name="image5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200025" cy="200025"/>
    <xdr:pic>
      <xdr:nvPicPr>
        <xdr:cNvPr id="0" name="image4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0</xdr:rowOff>
    </xdr:from>
    <xdr:ext cx="190500" cy="200025"/>
    <xdr:pic>
      <xdr:nvPicPr>
        <xdr:cNvPr id="0" name="image37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0</xdr:rowOff>
    </xdr:from>
    <xdr:ext cx="200025" cy="200025"/>
    <xdr:pic>
      <xdr:nvPicPr>
        <xdr:cNvPr id="0" name="image22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200025" cy="200025"/>
    <xdr:pic>
      <xdr:nvPicPr>
        <xdr:cNvPr id="0" name="image2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0</xdr:rowOff>
    </xdr:from>
    <xdr:ext cx="200025" cy="200025"/>
    <xdr:pic>
      <xdr:nvPicPr>
        <xdr:cNvPr id="0" name="image56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200025" cy="200025"/>
    <xdr:pic>
      <xdr:nvPicPr>
        <xdr:cNvPr id="0" name="image26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0</xdr:rowOff>
    </xdr:from>
    <xdr:ext cx="200025" cy="200025"/>
    <xdr:pic>
      <xdr:nvPicPr>
        <xdr:cNvPr id="0" name="image4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0</xdr:rowOff>
    </xdr:from>
    <xdr:ext cx="200025" cy="200025"/>
    <xdr:pic>
      <xdr:nvPicPr>
        <xdr:cNvPr id="0" name="image35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0</xdr:rowOff>
    </xdr:from>
    <xdr:ext cx="200025" cy="200025"/>
    <xdr:pic>
      <xdr:nvPicPr>
        <xdr:cNvPr id="0" name="image58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106</xdr:row>
      <xdr:rowOff>0</xdr:rowOff>
    </xdr:from>
    <xdr:ext cx="200025" cy="200025"/>
    <xdr:pic>
      <xdr:nvPicPr>
        <xdr:cNvPr id="0" name="image31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107</xdr:row>
      <xdr:rowOff>0</xdr:rowOff>
    </xdr:from>
    <xdr:ext cx="200025" cy="200025"/>
    <xdr:pic>
      <xdr:nvPicPr>
        <xdr:cNvPr id="0" name="image2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0</xdr:rowOff>
    </xdr:from>
    <xdr:ext cx="219075" cy="200025"/>
    <xdr:pic>
      <xdr:nvPicPr>
        <xdr:cNvPr id="0" name="image36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0</xdr:rowOff>
    </xdr:from>
    <xdr:ext cx="219075" cy="200025"/>
    <xdr:pic>
      <xdr:nvPicPr>
        <xdr:cNvPr id="0" name="image30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200025" cy="200025"/>
    <xdr:pic>
      <xdr:nvPicPr>
        <xdr:cNvPr id="0" name="image11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0</xdr:rowOff>
    </xdr:from>
    <xdr:ext cx="200025" cy="200025"/>
    <xdr:pic>
      <xdr:nvPicPr>
        <xdr:cNvPr id="0" name="image10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0</xdr:rowOff>
    </xdr:from>
    <xdr:ext cx="209550" cy="200025"/>
    <xdr:pic>
      <xdr:nvPicPr>
        <xdr:cNvPr id="0" name="image41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113</xdr:row>
      <xdr:rowOff>0</xdr:rowOff>
    </xdr:from>
    <xdr:ext cx="190500" cy="200025"/>
    <xdr:pic>
      <xdr:nvPicPr>
        <xdr:cNvPr id="0" name="image5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0</xdr:rowOff>
    </xdr:from>
    <xdr:ext cx="152400" cy="200025"/>
    <xdr:pic>
      <xdr:nvPicPr>
        <xdr:cNvPr id="0" name="image3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115</xdr:row>
      <xdr:rowOff>0</xdr:rowOff>
    </xdr:from>
    <xdr:ext cx="180975" cy="200025"/>
    <xdr:pic>
      <xdr:nvPicPr>
        <xdr:cNvPr id="0" name="image85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0</xdr:rowOff>
    </xdr:from>
    <xdr:ext cx="219075" cy="200025"/>
    <xdr:pic>
      <xdr:nvPicPr>
        <xdr:cNvPr id="0" name="image69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117</xdr:row>
      <xdr:rowOff>0</xdr:rowOff>
    </xdr:from>
    <xdr:ext cx="209550" cy="200025"/>
    <xdr:pic>
      <xdr:nvPicPr>
        <xdr:cNvPr id="0" name="image51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118</xdr:row>
      <xdr:rowOff>0</xdr:rowOff>
    </xdr:from>
    <xdr:ext cx="304800" cy="200025"/>
    <xdr:pic>
      <xdr:nvPicPr>
        <xdr:cNvPr id="0" name="image3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0</xdr:rowOff>
    </xdr:from>
    <xdr:ext cx="171450" cy="200025"/>
    <xdr:pic>
      <xdr:nvPicPr>
        <xdr:cNvPr id="0" name="image87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120</xdr:row>
      <xdr:rowOff>0</xdr:rowOff>
    </xdr:from>
    <xdr:ext cx="200025" cy="200025"/>
    <xdr:pic>
      <xdr:nvPicPr>
        <xdr:cNvPr id="0" name="image5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121</xdr:row>
      <xdr:rowOff>0</xdr:rowOff>
    </xdr:from>
    <xdr:ext cx="190500" cy="200025"/>
    <xdr:pic>
      <xdr:nvPicPr>
        <xdr:cNvPr id="0" name="image83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122</xdr:row>
      <xdr:rowOff>0</xdr:rowOff>
    </xdr:from>
    <xdr:ext cx="180975" cy="200025"/>
    <xdr:pic>
      <xdr:nvPicPr>
        <xdr:cNvPr id="0" name="image71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123</xdr:row>
      <xdr:rowOff>0</xdr:rowOff>
    </xdr:from>
    <xdr:ext cx="200025" cy="200025"/>
    <xdr:pic>
      <xdr:nvPicPr>
        <xdr:cNvPr id="0" name="image81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0</xdr:rowOff>
    </xdr:from>
    <xdr:ext cx="200025" cy="200025"/>
    <xdr:pic>
      <xdr:nvPicPr>
        <xdr:cNvPr id="0" name="image89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125</xdr:row>
      <xdr:rowOff>0</xdr:rowOff>
    </xdr:from>
    <xdr:ext cx="200025" cy="200025"/>
    <xdr:pic>
      <xdr:nvPicPr>
        <xdr:cNvPr id="0" name="image128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126</xdr:row>
      <xdr:rowOff>0</xdr:rowOff>
    </xdr:from>
    <xdr:ext cx="200025" cy="200025"/>
    <xdr:pic>
      <xdr:nvPicPr>
        <xdr:cNvPr id="0" name="image134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127</xdr:row>
      <xdr:rowOff>0</xdr:rowOff>
    </xdr:from>
    <xdr:ext cx="200025" cy="200025"/>
    <xdr:pic>
      <xdr:nvPicPr>
        <xdr:cNvPr id="0" name="image139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128</xdr:row>
      <xdr:rowOff>0</xdr:rowOff>
    </xdr:from>
    <xdr:ext cx="200025" cy="200025"/>
    <xdr:pic>
      <xdr:nvPicPr>
        <xdr:cNvPr id="0" name="image112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129</xdr:row>
      <xdr:rowOff>0</xdr:rowOff>
    </xdr:from>
    <xdr:ext cx="200025" cy="200025"/>
    <xdr:pic>
      <xdr:nvPicPr>
        <xdr:cNvPr id="0" name="image82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130</xdr:row>
      <xdr:rowOff>0</xdr:rowOff>
    </xdr:from>
    <xdr:ext cx="200025" cy="200025"/>
    <xdr:pic>
      <xdr:nvPicPr>
        <xdr:cNvPr id="0" name="image97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131</xdr:row>
      <xdr:rowOff>0</xdr:rowOff>
    </xdr:from>
    <xdr:ext cx="200025" cy="200025"/>
    <xdr:pic>
      <xdr:nvPicPr>
        <xdr:cNvPr id="0" name="image73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132</xdr:row>
      <xdr:rowOff>0</xdr:rowOff>
    </xdr:from>
    <xdr:ext cx="200025" cy="200025"/>
    <xdr:pic>
      <xdr:nvPicPr>
        <xdr:cNvPr id="0" name="image75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133</xdr:row>
      <xdr:rowOff>0</xdr:rowOff>
    </xdr:from>
    <xdr:ext cx="200025" cy="200025"/>
    <xdr:pic>
      <xdr:nvPicPr>
        <xdr:cNvPr id="0" name="image70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134</xdr:row>
      <xdr:rowOff>0</xdr:rowOff>
    </xdr:from>
    <xdr:ext cx="200025" cy="200025"/>
    <xdr:pic>
      <xdr:nvPicPr>
        <xdr:cNvPr id="0" name="image78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0</xdr:rowOff>
    </xdr:from>
    <xdr:ext cx="200025" cy="200025"/>
    <xdr:pic>
      <xdr:nvPicPr>
        <xdr:cNvPr id="0" name="image76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200025" cy="200025"/>
    <xdr:pic>
      <xdr:nvPicPr>
        <xdr:cNvPr id="0" name="image67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137</xdr:row>
      <xdr:rowOff>0</xdr:rowOff>
    </xdr:from>
    <xdr:ext cx="200025" cy="200025"/>
    <xdr:pic>
      <xdr:nvPicPr>
        <xdr:cNvPr id="0" name="image9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200025" cy="200025"/>
    <xdr:pic>
      <xdr:nvPicPr>
        <xdr:cNvPr id="0" name="image74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200025" cy="200025"/>
    <xdr:pic>
      <xdr:nvPicPr>
        <xdr:cNvPr id="0" name="image90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140</xdr:row>
      <xdr:rowOff>0</xdr:rowOff>
    </xdr:from>
    <xdr:ext cx="200025" cy="200025"/>
    <xdr:pic>
      <xdr:nvPicPr>
        <xdr:cNvPr id="0" name="image91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141</xdr:row>
      <xdr:rowOff>0</xdr:rowOff>
    </xdr:from>
    <xdr:ext cx="200025" cy="200025"/>
    <xdr:pic>
      <xdr:nvPicPr>
        <xdr:cNvPr id="0" name="image96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142</xdr:row>
      <xdr:rowOff>0</xdr:rowOff>
    </xdr:from>
    <xdr:ext cx="200025" cy="200025"/>
    <xdr:pic>
      <xdr:nvPicPr>
        <xdr:cNvPr id="0" name="image104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143</xdr:row>
      <xdr:rowOff>0</xdr:rowOff>
    </xdr:from>
    <xdr:ext cx="200025" cy="200025"/>
    <xdr:pic>
      <xdr:nvPicPr>
        <xdr:cNvPr id="0" name="image84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144</xdr:row>
      <xdr:rowOff>0</xdr:rowOff>
    </xdr:from>
    <xdr:ext cx="200025" cy="200025"/>
    <xdr:pic>
      <xdr:nvPicPr>
        <xdr:cNvPr id="0" name="image86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145</xdr:row>
      <xdr:rowOff>0</xdr:rowOff>
    </xdr:from>
    <xdr:ext cx="200025" cy="200025"/>
    <xdr:pic>
      <xdr:nvPicPr>
        <xdr:cNvPr id="0" name="image110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146</xdr:row>
      <xdr:rowOff>0</xdr:rowOff>
    </xdr:from>
    <xdr:ext cx="200025" cy="200025"/>
    <xdr:pic>
      <xdr:nvPicPr>
        <xdr:cNvPr id="0" name="image80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147</xdr:row>
      <xdr:rowOff>0</xdr:rowOff>
    </xdr:from>
    <xdr:ext cx="200025" cy="200025"/>
    <xdr:pic>
      <xdr:nvPicPr>
        <xdr:cNvPr id="0" name="image133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148</xdr:row>
      <xdr:rowOff>0</xdr:rowOff>
    </xdr:from>
    <xdr:ext cx="180975" cy="200025"/>
    <xdr:pic>
      <xdr:nvPicPr>
        <xdr:cNvPr id="0" name="image126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0</xdr:rowOff>
    </xdr:from>
    <xdr:ext cx="180975" cy="200025"/>
    <xdr:pic>
      <xdr:nvPicPr>
        <xdr:cNvPr id="0" name="image59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150</xdr:row>
      <xdr:rowOff>0</xdr:rowOff>
    </xdr:from>
    <xdr:ext cx="209550" cy="200025"/>
    <xdr:pic>
      <xdr:nvPicPr>
        <xdr:cNvPr id="0" name="image103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151</xdr:row>
      <xdr:rowOff>0</xdr:rowOff>
    </xdr:from>
    <xdr:ext cx="200025" cy="200025"/>
    <xdr:pic>
      <xdr:nvPicPr>
        <xdr:cNvPr id="0" name="image113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152</xdr:row>
      <xdr:rowOff>0</xdr:rowOff>
    </xdr:from>
    <xdr:ext cx="200025" cy="200025"/>
    <xdr:pic>
      <xdr:nvPicPr>
        <xdr:cNvPr id="0" name="image107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153</xdr:row>
      <xdr:rowOff>0</xdr:rowOff>
    </xdr:from>
    <xdr:ext cx="180975" cy="200025"/>
    <xdr:pic>
      <xdr:nvPicPr>
        <xdr:cNvPr id="0" name="image65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154</xdr:row>
      <xdr:rowOff>0</xdr:rowOff>
    </xdr:from>
    <xdr:ext cx="200025" cy="200025"/>
    <xdr:pic>
      <xdr:nvPicPr>
        <xdr:cNvPr id="0" name="image88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155</xdr:row>
      <xdr:rowOff>0</xdr:rowOff>
    </xdr:from>
    <xdr:ext cx="200025" cy="200025"/>
    <xdr:pic>
      <xdr:nvPicPr>
        <xdr:cNvPr id="0" name="image64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156</xdr:row>
      <xdr:rowOff>0</xdr:rowOff>
    </xdr:from>
    <xdr:ext cx="200025" cy="200025"/>
    <xdr:pic>
      <xdr:nvPicPr>
        <xdr:cNvPr id="0" name="image100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157</xdr:row>
      <xdr:rowOff>0</xdr:rowOff>
    </xdr:from>
    <xdr:ext cx="200025" cy="200025"/>
    <xdr:pic>
      <xdr:nvPicPr>
        <xdr:cNvPr id="0" name="image93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158</xdr:row>
      <xdr:rowOff>0</xdr:rowOff>
    </xdr:from>
    <xdr:ext cx="200025" cy="200025"/>
    <xdr:pic>
      <xdr:nvPicPr>
        <xdr:cNvPr id="0" name="image61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159</xdr:row>
      <xdr:rowOff>0</xdr:rowOff>
    </xdr:from>
    <xdr:ext cx="200025" cy="200025"/>
    <xdr:pic>
      <xdr:nvPicPr>
        <xdr:cNvPr id="0" name="image92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160</xdr:row>
      <xdr:rowOff>0</xdr:rowOff>
    </xdr:from>
    <xdr:ext cx="200025" cy="200025"/>
    <xdr:pic>
      <xdr:nvPicPr>
        <xdr:cNvPr id="0" name="image122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161</xdr:row>
      <xdr:rowOff>0</xdr:rowOff>
    </xdr:from>
    <xdr:ext cx="200025" cy="200025"/>
    <xdr:pic>
      <xdr:nvPicPr>
        <xdr:cNvPr id="0" name="image68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162</xdr:row>
      <xdr:rowOff>0</xdr:rowOff>
    </xdr:from>
    <xdr:ext cx="200025" cy="200025"/>
    <xdr:pic>
      <xdr:nvPicPr>
        <xdr:cNvPr id="0" name="image66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163</xdr:row>
      <xdr:rowOff>0</xdr:rowOff>
    </xdr:from>
    <xdr:ext cx="200025" cy="200025"/>
    <xdr:pic>
      <xdr:nvPicPr>
        <xdr:cNvPr id="0" name="image111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164</xdr:row>
      <xdr:rowOff>0</xdr:rowOff>
    </xdr:from>
    <xdr:ext cx="200025" cy="200025"/>
    <xdr:pic>
      <xdr:nvPicPr>
        <xdr:cNvPr id="0" name="image101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165</xdr:row>
      <xdr:rowOff>0</xdr:rowOff>
    </xdr:from>
    <xdr:ext cx="200025" cy="200025"/>
    <xdr:pic>
      <xdr:nvPicPr>
        <xdr:cNvPr id="0" name="image116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166</xdr:row>
      <xdr:rowOff>0</xdr:rowOff>
    </xdr:from>
    <xdr:ext cx="200025" cy="200025"/>
    <xdr:pic>
      <xdr:nvPicPr>
        <xdr:cNvPr id="0" name="image98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167</xdr:row>
      <xdr:rowOff>0</xdr:rowOff>
    </xdr:from>
    <xdr:ext cx="200025" cy="200025"/>
    <xdr:pic>
      <xdr:nvPicPr>
        <xdr:cNvPr id="0" name="image117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168</xdr:row>
      <xdr:rowOff>0</xdr:rowOff>
    </xdr:from>
    <xdr:ext cx="200025" cy="200025"/>
    <xdr:pic>
      <xdr:nvPicPr>
        <xdr:cNvPr id="0" name="image119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169</xdr:row>
      <xdr:rowOff>0</xdr:rowOff>
    </xdr:from>
    <xdr:ext cx="200025" cy="200025"/>
    <xdr:pic>
      <xdr:nvPicPr>
        <xdr:cNvPr id="0" name="image114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170</xdr:row>
      <xdr:rowOff>0</xdr:rowOff>
    </xdr:from>
    <xdr:ext cx="200025" cy="200025"/>
    <xdr:pic>
      <xdr:nvPicPr>
        <xdr:cNvPr id="0" name="image140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171</xdr:row>
      <xdr:rowOff>0</xdr:rowOff>
    </xdr:from>
    <xdr:ext cx="200025" cy="200025"/>
    <xdr:pic>
      <xdr:nvPicPr>
        <xdr:cNvPr id="0" name="image99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172</xdr:row>
      <xdr:rowOff>0</xdr:rowOff>
    </xdr:from>
    <xdr:ext cx="200025" cy="200025"/>
    <xdr:pic>
      <xdr:nvPicPr>
        <xdr:cNvPr id="0" name="image106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0</xdr:rowOff>
    </xdr:from>
    <xdr:ext cx="200025" cy="200025"/>
    <xdr:pic>
      <xdr:nvPicPr>
        <xdr:cNvPr id="0" name="image102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174</xdr:row>
      <xdr:rowOff>0</xdr:rowOff>
    </xdr:from>
    <xdr:ext cx="238125" cy="200025"/>
    <xdr:pic>
      <xdr:nvPicPr>
        <xdr:cNvPr id="0" name="image120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175</xdr:row>
      <xdr:rowOff>0</xdr:rowOff>
    </xdr:from>
    <xdr:ext cx="200025" cy="200025"/>
    <xdr:pic>
      <xdr:nvPicPr>
        <xdr:cNvPr id="0" name="image108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176</xdr:row>
      <xdr:rowOff>0</xdr:rowOff>
    </xdr:from>
    <xdr:ext cx="200025" cy="200025"/>
    <xdr:pic>
      <xdr:nvPicPr>
        <xdr:cNvPr id="0" name="image121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177</xdr:row>
      <xdr:rowOff>0</xdr:rowOff>
    </xdr:from>
    <xdr:ext cx="190500" cy="200025"/>
    <xdr:pic>
      <xdr:nvPicPr>
        <xdr:cNvPr id="0" name="image79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178</xdr:row>
      <xdr:rowOff>0</xdr:rowOff>
    </xdr:from>
    <xdr:ext cx="200025" cy="200025"/>
    <xdr:pic>
      <xdr:nvPicPr>
        <xdr:cNvPr id="0" name="image95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179</xdr:row>
      <xdr:rowOff>0</xdr:rowOff>
    </xdr:from>
    <xdr:ext cx="200025" cy="200025"/>
    <xdr:pic>
      <xdr:nvPicPr>
        <xdr:cNvPr id="0" name="image124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180</xdr:row>
      <xdr:rowOff>0</xdr:rowOff>
    </xdr:from>
    <xdr:ext cx="200025" cy="200025"/>
    <xdr:pic>
      <xdr:nvPicPr>
        <xdr:cNvPr id="0" name="image137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181</xdr:row>
      <xdr:rowOff>0</xdr:rowOff>
    </xdr:from>
    <xdr:ext cx="200025" cy="200025"/>
    <xdr:pic>
      <xdr:nvPicPr>
        <xdr:cNvPr id="0" name="image115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182</xdr:row>
      <xdr:rowOff>0</xdr:rowOff>
    </xdr:from>
    <xdr:ext cx="200025" cy="200025"/>
    <xdr:pic>
      <xdr:nvPicPr>
        <xdr:cNvPr id="0" name="image109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183</xdr:row>
      <xdr:rowOff>0</xdr:rowOff>
    </xdr:from>
    <xdr:ext cx="200025" cy="200025"/>
    <xdr:pic>
      <xdr:nvPicPr>
        <xdr:cNvPr id="0" name="image125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184</xdr:row>
      <xdr:rowOff>0</xdr:rowOff>
    </xdr:from>
    <xdr:ext cx="200025" cy="200025"/>
    <xdr:pic>
      <xdr:nvPicPr>
        <xdr:cNvPr id="0" name="image118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185</xdr:row>
      <xdr:rowOff>0</xdr:rowOff>
    </xdr:from>
    <xdr:ext cx="200025" cy="200025"/>
    <xdr:pic>
      <xdr:nvPicPr>
        <xdr:cNvPr id="0" name="image135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186</xdr:row>
      <xdr:rowOff>0</xdr:rowOff>
    </xdr:from>
    <xdr:ext cx="200025" cy="200025"/>
    <xdr:pic>
      <xdr:nvPicPr>
        <xdr:cNvPr id="0" name="image132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187</xdr:row>
      <xdr:rowOff>0</xdr:rowOff>
    </xdr:from>
    <xdr:ext cx="247650" cy="200025"/>
    <xdr:pic>
      <xdr:nvPicPr>
        <xdr:cNvPr id="0" name="image105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188</xdr:row>
      <xdr:rowOff>0</xdr:rowOff>
    </xdr:from>
    <xdr:ext cx="200025" cy="200025"/>
    <xdr:pic>
      <xdr:nvPicPr>
        <xdr:cNvPr id="0" name="image136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189</xdr:row>
      <xdr:rowOff>0</xdr:rowOff>
    </xdr:from>
    <xdr:ext cx="200025" cy="200025"/>
    <xdr:pic>
      <xdr:nvPicPr>
        <xdr:cNvPr id="0" name="image129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190</xdr:row>
      <xdr:rowOff>0</xdr:rowOff>
    </xdr:from>
    <xdr:ext cx="200025" cy="200025"/>
    <xdr:pic>
      <xdr:nvPicPr>
        <xdr:cNvPr id="0" name="image127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191</xdr:row>
      <xdr:rowOff>0</xdr:rowOff>
    </xdr:from>
    <xdr:ext cx="200025" cy="200025"/>
    <xdr:pic>
      <xdr:nvPicPr>
        <xdr:cNvPr id="0" name="image131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0</xdr:rowOff>
    </xdr:from>
    <xdr:ext cx="200025" cy="200025"/>
    <xdr:pic>
      <xdr:nvPicPr>
        <xdr:cNvPr id="0" name="image123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193</xdr:row>
      <xdr:rowOff>0</xdr:rowOff>
    </xdr:from>
    <xdr:ext cx="200025" cy="200025"/>
    <xdr:pic>
      <xdr:nvPicPr>
        <xdr:cNvPr id="0" name="image130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194</xdr:row>
      <xdr:rowOff>0</xdr:rowOff>
    </xdr:from>
    <xdr:ext cx="200025" cy="200025"/>
    <xdr:pic>
      <xdr:nvPicPr>
        <xdr:cNvPr id="0" name="image138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30.0"/>
    <col customWidth="1" min="3" max="3" width="26.14"/>
    <col customWidth="1" min="4" max="4" width="30.0"/>
    <col customWidth="1" min="5" max="5" width="34.29"/>
    <col customWidth="1" min="6" max="7" width="25.57"/>
    <col customWidth="1" hidden="1" min="8" max="8" width="14.0"/>
    <col customWidth="1" hidden="1" min="9" max="9" width="8.71"/>
    <col customWidth="1" hidden="1" min="10" max="12" width="13.0"/>
    <col customWidth="1" hidden="1" min="13" max="13" width="9.0"/>
    <col customWidth="1" hidden="1" min="14" max="23" width="1.0"/>
    <col customWidth="1" hidden="1" min="24" max="26" width="8.71"/>
    <col hidden="1" min="27" max="27" width="14.43"/>
  </cols>
  <sheetData>
    <row r="1" ht="31.5" customHeight="1">
      <c r="A1" s="5" t="s">
        <v>3</v>
      </c>
      <c r="H1" s="7"/>
      <c r="I1" s="7"/>
      <c r="J1" s="7"/>
      <c r="K1" s="7"/>
      <c r="L1" s="7"/>
      <c r="M1" s="7"/>
      <c r="N1" s="13" t="s">
        <v>9</v>
      </c>
      <c r="O1" s="13" t="s">
        <v>10</v>
      </c>
      <c r="P1" s="13" t="s">
        <v>13</v>
      </c>
      <c r="Q1" s="13" t="s">
        <v>15</v>
      </c>
      <c r="R1" s="13" t="s">
        <v>17</v>
      </c>
      <c r="S1" s="13" t="s">
        <v>18</v>
      </c>
      <c r="T1" s="13" t="s">
        <v>20</v>
      </c>
      <c r="U1" s="13" t="s">
        <v>22</v>
      </c>
      <c r="V1" s="13" t="s">
        <v>24</v>
      </c>
      <c r="W1" s="13" t="s">
        <v>26</v>
      </c>
      <c r="X1" s="7"/>
      <c r="Y1" s="7"/>
      <c r="Z1" s="7"/>
      <c r="AA1" s="7"/>
    </row>
    <row r="2" ht="21.0" customHeight="1">
      <c r="A2" s="17" t="s">
        <v>35</v>
      </c>
      <c r="H2" s="19"/>
      <c r="I2" s="7"/>
      <c r="J2" s="7"/>
      <c r="K2" s="7"/>
      <c r="L2" s="7"/>
      <c r="M2" s="7"/>
      <c r="N2" s="13" t="s">
        <v>9</v>
      </c>
      <c r="O2" s="13" t="s">
        <v>40</v>
      </c>
      <c r="P2" s="13" t="s">
        <v>13</v>
      </c>
      <c r="Q2" s="13" t="s">
        <v>44</v>
      </c>
      <c r="R2" s="13" t="s">
        <v>17</v>
      </c>
      <c r="S2" s="13" t="s">
        <v>47</v>
      </c>
      <c r="T2" s="13" t="s">
        <v>49</v>
      </c>
      <c r="U2" s="13" t="s">
        <v>22</v>
      </c>
      <c r="V2" s="13" t="s">
        <v>53</v>
      </c>
      <c r="W2" s="13" t="s">
        <v>20</v>
      </c>
      <c r="X2" s="7"/>
      <c r="Y2" s="7"/>
      <c r="Z2" s="7"/>
      <c r="AA2" s="7"/>
    </row>
    <row r="3" ht="21.0" customHeight="1">
      <c r="A3" s="25" t="s">
        <v>56</v>
      </c>
      <c r="G3" s="26"/>
      <c r="H3" s="28"/>
      <c r="I3" s="7"/>
      <c r="J3" s="7"/>
      <c r="K3" s="7"/>
      <c r="L3" s="7"/>
      <c r="M3" s="7"/>
      <c r="N3" s="13" t="s">
        <v>39</v>
      </c>
      <c r="O3" s="13" t="s">
        <v>58</v>
      </c>
      <c r="P3" s="13" t="s">
        <v>59</v>
      </c>
      <c r="Q3" s="13" t="s">
        <v>60</v>
      </c>
      <c r="R3" s="13" t="s">
        <v>61</v>
      </c>
      <c r="S3" s="13" t="s">
        <v>62</v>
      </c>
      <c r="T3" s="13" t="s">
        <v>63</v>
      </c>
      <c r="U3" s="13" t="s">
        <v>64</v>
      </c>
      <c r="V3" s="13" t="s">
        <v>65</v>
      </c>
      <c r="W3" s="13" t="s">
        <v>66</v>
      </c>
      <c r="X3" s="7"/>
      <c r="Y3" s="7"/>
      <c r="Z3" s="7"/>
      <c r="AA3" s="7"/>
    </row>
    <row r="4" ht="21.0" customHeight="1">
      <c r="A4" s="31"/>
      <c r="B4" s="33" t="s">
        <v>70</v>
      </c>
      <c r="F4" s="31"/>
      <c r="G4" s="31"/>
      <c r="H4" s="7"/>
      <c r="I4" s="7"/>
      <c r="J4" s="7"/>
      <c r="K4" s="7"/>
      <c r="L4" s="7"/>
      <c r="M4" s="7"/>
      <c r="N4" s="13" t="s">
        <v>41</v>
      </c>
      <c r="O4" s="13" t="s">
        <v>71</v>
      </c>
      <c r="P4" s="13" t="s">
        <v>72</v>
      </c>
      <c r="Q4" s="13" t="s">
        <v>73</v>
      </c>
      <c r="R4" s="13" t="s">
        <v>76</v>
      </c>
      <c r="S4" s="13" t="s">
        <v>78</v>
      </c>
      <c r="T4" s="13" t="s">
        <v>79</v>
      </c>
      <c r="U4" s="13" t="s">
        <v>80</v>
      </c>
      <c r="V4" s="13" t="s">
        <v>81</v>
      </c>
      <c r="W4" s="13" t="s">
        <v>82</v>
      </c>
      <c r="X4" s="7"/>
      <c r="Y4" s="7"/>
      <c r="Z4" s="7"/>
      <c r="AA4" s="7"/>
    </row>
    <row r="5" ht="21.0" customHeight="1">
      <c r="B5" s="34" t="s">
        <v>83</v>
      </c>
      <c r="C5" s="34" t="s">
        <v>84</v>
      </c>
      <c r="D5" s="34" t="s">
        <v>85</v>
      </c>
      <c r="E5" s="34" t="s">
        <v>86</v>
      </c>
      <c r="F5" s="31"/>
      <c r="G5" s="31"/>
      <c r="H5" s="28"/>
      <c r="I5" s="7"/>
      <c r="J5" s="7"/>
      <c r="K5" s="7"/>
      <c r="L5" s="7"/>
      <c r="M5" s="7"/>
      <c r="N5" s="13" t="s">
        <v>42</v>
      </c>
      <c r="O5" s="13" t="s">
        <v>89</v>
      </c>
      <c r="P5" s="13" t="s">
        <v>90</v>
      </c>
      <c r="Q5" s="13" t="s">
        <v>91</v>
      </c>
      <c r="R5" s="13" t="s">
        <v>92</v>
      </c>
      <c r="S5" s="13" t="s">
        <v>93</v>
      </c>
      <c r="T5" s="13" t="s">
        <v>94</v>
      </c>
      <c r="U5" s="13" t="s">
        <v>95</v>
      </c>
      <c r="V5" s="13" t="s">
        <v>96</v>
      </c>
      <c r="W5" s="13" t="s">
        <v>97</v>
      </c>
      <c r="X5" s="7"/>
      <c r="Y5" s="7"/>
      <c r="Z5" s="7"/>
      <c r="AA5" s="7"/>
    </row>
    <row r="6" ht="37.5" customHeight="1">
      <c r="B6" s="35" t="s">
        <v>98</v>
      </c>
      <c r="C6" s="37" t="s">
        <v>109</v>
      </c>
      <c r="D6" s="37">
        <v>10.0</v>
      </c>
      <c r="E6" s="39">
        <f>IF(C6="Select Ore",1,IFERROR(VALUE(SUBSTITUTE(VLOOKUP(C6,'_OptionsCrafter'!$A$55:$C$195,3,0),"x","")),1))</f>
        <v>13.33</v>
      </c>
      <c r="F6" s="31" t="str">
        <f>VLOOKUP(C6, '_OptionsCrafter'!$A$55:$G$195, 7, FALSE)</f>
        <v/>
      </c>
      <c r="G6" s="31" t="str">
        <f>VLOOKUP(D6, '_OptionsCrafter'!$A$55:$G$195, 7, FALSE)</f>
        <v>#N/A</v>
      </c>
      <c r="H6" s="40"/>
      <c r="I6" s="41">
        <f>IF(C6="Select Ore",0,IF(ISNUMBER(SEARCH("eapon",IFERROR(VLOOKUP(C6,'_OptionsCrafter'!$A$55:$F$195,2,0),""))),1,0))</f>
        <v>0</v>
      </c>
      <c r="J6" s="41">
        <f t="shared" ref="J6:J9" si="1">IF(SUM($D$6:$D$9)=0,0,IF(ISNUMBER(D6),D6/SUM($D$6:$D$9),0))</f>
        <v>0.5</v>
      </c>
      <c r="K6" s="41">
        <f t="shared" ref="K6:K9" si="2">IF(OR(I6=0,J6&lt;0.1),0,MIN(MAX((J6-0.1)*4.5+0.1,0.1),1))</f>
        <v>0</v>
      </c>
      <c r="L6" s="41" t="str">
        <f>IF(K6=0,"",IF(J6&gt;=0.3,IFERROR(VLOOKUP(C6,'_OptionsCrafter'!$A$55:$F$195,5,0),""),"["&amp;TEXT(K6*100,"0.0")&amp;"% power] "&amp;IFERROR(VLOOKUP(C6,'_OptionsCrafter'!$A$55:$F$195,4,0),"")))</f>
        <v/>
      </c>
      <c r="M6" s="41"/>
      <c r="N6" s="13" t="s">
        <v>43</v>
      </c>
      <c r="O6" s="13" t="s">
        <v>100</v>
      </c>
      <c r="P6" s="13" t="s">
        <v>113</v>
      </c>
      <c r="Q6" s="13" t="s">
        <v>114</v>
      </c>
      <c r="R6" s="13" t="s">
        <v>115</v>
      </c>
      <c r="S6" s="13" t="s">
        <v>116</v>
      </c>
      <c r="T6" s="13" t="s">
        <v>117</v>
      </c>
      <c r="U6" s="13" t="s">
        <v>118</v>
      </c>
      <c r="V6" s="13" t="s">
        <v>119</v>
      </c>
      <c r="W6" s="13" t="s">
        <v>120</v>
      </c>
      <c r="X6" s="7"/>
      <c r="Y6" s="7"/>
      <c r="Z6" s="7"/>
      <c r="AA6" s="7"/>
    </row>
    <row r="7" ht="37.5" customHeight="1">
      <c r="B7" s="35" t="s">
        <v>150</v>
      </c>
      <c r="C7" s="44" t="s">
        <v>151</v>
      </c>
      <c r="D7" s="44">
        <v>10.0</v>
      </c>
      <c r="E7" s="46">
        <f>IF(C7="Select Ore",1,IFERROR(VALUE(SUBSTITUTE(VLOOKUP(C7,'_OptionsCrafter'!$A$55:$C$195,3,0),"x","")),1))</f>
        <v>2.55</v>
      </c>
      <c r="F7" s="31" t="str">
        <f>VLOOKUP(C7, '_OptionsCrafter'!$A$55:$G$195, 7, FALSE)</f>
        <v/>
      </c>
      <c r="G7" s="31" t="str">
        <f>VLOOKUP(D7, '_OptionsCrafter'!$A$55:$G$195, 7, FALSE)</f>
        <v>#N/A</v>
      </c>
      <c r="H7" s="48"/>
      <c r="I7" s="41">
        <f>IF(C7="Select Ore",0,IF(ISNUMBER(SEARCH("eapon",IFERROR(VLOOKUP(C7,'_OptionsCrafter'!$A$55:$F$195,2,0),""))),1,0))</f>
        <v>0</v>
      </c>
      <c r="J7" s="41">
        <f t="shared" si="1"/>
        <v>0.5</v>
      </c>
      <c r="K7" s="41">
        <f t="shared" si="2"/>
        <v>0</v>
      </c>
      <c r="L7" s="41" t="str">
        <f>IF(K7=0,"",IF(J7&gt;=0.3,IFERROR(VLOOKUP(C7,'_OptionsCrafter'!$A$55:$F$195,5,0),""),"["&amp;TEXT(K7*100,"0.0")&amp;"% power] "&amp;IFERROR(VLOOKUP(C7,'_OptionsCrafter'!$A$55:$F$195,4,0),"")))</f>
        <v/>
      </c>
      <c r="M7" s="41"/>
      <c r="N7" s="13" t="s">
        <v>45</v>
      </c>
      <c r="O7" s="13" t="s">
        <v>102</v>
      </c>
      <c r="P7" s="13" t="s">
        <v>124</v>
      </c>
      <c r="Q7" s="7"/>
      <c r="R7" s="7"/>
      <c r="S7" s="13" t="s">
        <v>125</v>
      </c>
      <c r="T7" s="7"/>
      <c r="U7" s="13" t="s">
        <v>126</v>
      </c>
      <c r="V7" s="13" t="s">
        <v>127</v>
      </c>
      <c r="W7" s="13" t="s">
        <v>128</v>
      </c>
      <c r="X7" s="7"/>
      <c r="Y7" s="7"/>
      <c r="Z7" s="7"/>
      <c r="AA7" s="7"/>
    </row>
    <row r="8" ht="37.5" customHeight="1">
      <c r="B8" s="35" t="s">
        <v>162</v>
      </c>
      <c r="C8" s="44" t="s">
        <v>163</v>
      </c>
      <c r="D8" s="50">
        <v>0.0</v>
      </c>
      <c r="E8" s="46">
        <f>IF(C8="Select Ore",1,IFERROR(VALUE(SUBSTITUTE(VLOOKUP(C8,'_OptionsCrafter'!$A$55:$C$195,3,0),"x","")),1))</f>
        <v>1</v>
      </c>
      <c r="F8" s="31" t="str">
        <f>VLOOKUP(C8, '_OptionsCrafter'!$A$55:$G$195, 7, FALSE)</f>
        <v>#N/A</v>
      </c>
      <c r="G8" s="31" t="str">
        <f>VLOOKUP(D8, '_OptionsCrafter'!$A$55:$G$195, 7, FALSE)</f>
        <v>#N/A</v>
      </c>
      <c r="H8" s="48"/>
      <c r="I8" s="41">
        <f>IF(C8="Select Ore",0,IF(ISNUMBER(SEARCH("eapon",IFERROR(VLOOKUP(C8,'_OptionsCrafter'!$A$55:$F$195,2,0),""))),1,0))</f>
        <v>0</v>
      </c>
      <c r="J8" s="41">
        <f t="shared" si="1"/>
        <v>0</v>
      </c>
      <c r="K8" s="41">
        <f t="shared" si="2"/>
        <v>0</v>
      </c>
      <c r="L8" s="41" t="str">
        <f>IF(K8=0,"",IF(J8&gt;=0.3,IFERROR(VLOOKUP(C8,'_OptionsCrafter'!$A$55:$F$195,5,0),""),"["&amp;TEXT(K8*100,"0.0")&amp;"% power] "&amp;IFERROR(VLOOKUP(C8,'_OptionsCrafter'!$A$55:$F$195,4,0),"")))</f>
        <v/>
      </c>
      <c r="M8" s="41"/>
      <c r="N8" s="13" t="s">
        <v>46</v>
      </c>
      <c r="O8" s="13" t="s">
        <v>103</v>
      </c>
      <c r="P8" s="13" t="s">
        <v>132</v>
      </c>
      <c r="Q8" s="7"/>
      <c r="R8" s="7"/>
      <c r="S8" s="7"/>
      <c r="T8" s="7"/>
      <c r="U8" s="13" t="s">
        <v>133</v>
      </c>
      <c r="V8" s="13" t="s">
        <v>134</v>
      </c>
      <c r="W8" s="13" t="s">
        <v>135</v>
      </c>
      <c r="X8" s="7"/>
      <c r="Y8" s="7"/>
      <c r="Z8" s="7"/>
      <c r="AA8" s="7"/>
    </row>
    <row r="9" ht="37.5" customHeight="1">
      <c r="B9" s="35" t="s">
        <v>172</v>
      </c>
      <c r="C9" s="44" t="s">
        <v>163</v>
      </c>
      <c r="D9" s="53">
        <v>0.0</v>
      </c>
      <c r="E9" s="54">
        <f>IF(C9="Select Ore",1,IFERROR(VALUE(SUBSTITUTE(VLOOKUP(C9,'_OptionsCrafter'!$A$55:$C$195,3,0),"x","")),1))</f>
        <v>1</v>
      </c>
      <c r="F9" s="31" t="str">
        <f>VLOOKUP(C9, '_OptionsCrafter'!$A$55:$G$195, 7, FALSE)</f>
        <v>#N/A</v>
      </c>
      <c r="G9" s="31" t="str">
        <f>VLOOKUP(D9, '_OptionsCrafter'!$A$55:$G$195, 7, FALSE)</f>
        <v>#N/A</v>
      </c>
      <c r="H9" s="7"/>
      <c r="I9" s="41">
        <f>IF(C9="Select Ore",0,IF(ISNUMBER(SEARCH("eapon",IFERROR(VLOOKUP(C9,'_OptionsCrafter'!$A$55:$F$195,2,0),""))),1,0))</f>
        <v>0</v>
      </c>
      <c r="J9" s="41">
        <f t="shared" si="1"/>
        <v>0</v>
      </c>
      <c r="K9" s="41">
        <f t="shared" si="2"/>
        <v>0</v>
      </c>
      <c r="L9" s="41" t="str">
        <f>IF(K9=0,"",IF(J9&gt;=0.3,IFERROR(VLOOKUP(C9,'_OptionsCrafter'!$A$55:$F$195,5,0),""),"["&amp;TEXT(K9*100,"0.0")&amp;"% power] "&amp;IFERROR(VLOOKUP(C9,'_OptionsCrafter'!$A$55:$F$195,4,0),"")))</f>
        <v/>
      </c>
      <c r="M9" s="41"/>
      <c r="N9" s="13" t="s">
        <v>48</v>
      </c>
      <c r="O9" s="13" t="s">
        <v>104</v>
      </c>
      <c r="P9" s="7"/>
      <c r="Q9" s="7"/>
      <c r="R9" s="7"/>
      <c r="S9" s="7"/>
      <c r="T9" s="7"/>
      <c r="U9" s="13" t="s">
        <v>140</v>
      </c>
      <c r="V9" s="13" t="s">
        <v>141</v>
      </c>
      <c r="W9" s="13" t="s">
        <v>142</v>
      </c>
      <c r="X9" s="7"/>
      <c r="Y9" s="7"/>
      <c r="Z9" s="7"/>
      <c r="AA9" s="7"/>
    </row>
    <row r="10">
      <c r="B10" s="35" t="s">
        <v>181</v>
      </c>
      <c r="C10" s="56"/>
      <c r="D10" s="57">
        <f>SUM(D6+D7+D8+D9)</f>
        <v>20</v>
      </c>
      <c r="E10" s="58">
        <f>IFERROR(SUMPRODUCT(D6:D9,E6:E9)/SUM(D6:D9),AVERAGE(E6:E9))</f>
        <v>7.94</v>
      </c>
      <c r="F10" s="59"/>
      <c r="G10" s="59"/>
      <c r="H10" s="40"/>
      <c r="I10" s="7"/>
      <c r="J10" s="7"/>
      <c r="K10" s="7"/>
      <c r="L10" s="7"/>
      <c r="M10" s="7"/>
      <c r="N10" s="13" t="s">
        <v>50</v>
      </c>
      <c r="O10" s="13" t="s">
        <v>105</v>
      </c>
      <c r="P10" s="7"/>
      <c r="Q10" s="7"/>
      <c r="R10" s="7"/>
      <c r="S10" s="7"/>
      <c r="T10" s="7"/>
      <c r="U10" s="13" t="s">
        <v>145</v>
      </c>
      <c r="V10" s="7"/>
      <c r="W10" s="13" t="s">
        <v>146</v>
      </c>
      <c r="X10" s="7"/>
      <c r="Y10" s="7"/>
      <c r="Z10" s="7"/>
      <c r="AA10" s="7"/>
    </row>
    <row r="11">
      <c r="B11" s="61" t="s">
        <v>186</v>
      </c>
      <c r="C11" s="62" t="s">
        <v>84</v>
      </c>
      <c r="D11" s="62" t="s">
        <v>187</v>
      </c>
      <c r="E11" s="63" t="s">
        <v>188</v>
      </c>
      <c r="F11" s="31"/>
      <c r="G11" s="31"/>
      <c r="H11" s="40"/>
      <c r="I11" s="7"/>
      <c r="J11" s="7"/>
      <c r="K11" s="7"/>
      <c r="L11" s="7"/>
      <c r="M11" s="7"/>
      <c r="N11" s="13" t="s">
        <v>51</v>
      </c>
      <c r="O11" s="13" t="s">
        <v>106</v>
      </c>
      <c r="P11" s="7"/>
      <c r="Q11" s="7"/>
      <c r="R11" s="7"/>
      <c r="S11" s="7"/>
      <c r="T11" s="7"/>
      <c r="U11" s="13" t="s">
        <v>152</v>
      </c>
      <c r="V11" s="7"/>
      <c r="W11" s="13" t="s">
        <v>153</v>
      </c>
      <c r="X11" s="7"/>
      <c r="Y11" s="7"/>
      <c r="Z11" s="7"/>
      <c r="AA11" s="7"/>
    </row>
    <row r="12">
      <c r="B12" s="35" t="s">
        <v>187</v>
      </c>
      <c r="C12" s="64" t="s">
        <v>22</v>
      </c>
      <c r="D12" s="66" t="s">
        <v>95</v>
      </c>
      <c r="E12" s="68">
        <v>100.0</v>
      </c>
      <c r="F12" s="31"/>
      <c r="G12" s="31"/>
      <c r="H12" s="7"/>
      <c r="I12" s="7"/>
      <c r="J12" s="7"/>
      <c r="K12" s="7"/>
      <c r="L12" s="7"/>
      <c r="M12" s="7"/>
      <c r="N12" s="7"/>
      <c r="O12" s="13" t="s">
        <v>107</v>
      </c>
      <c r="P12" s="7"/>
      <c r="Q12" s="7"/>
      <c r="R12" s="7"/>
      <c r="S12" s="7"/>
      <c r="T12" s="7"/>
      <c r="U12" s="7"/>
      <c r="V12" s="7"/>
      <c r="W12" s="13" t="s">
        <v>157</v>
      </c>
      <c r="X12" s="7"/>
      <c r="Y12" s="7"/>
      <c r="Z12" s="7"/>
      <c r="AA12" s="7"/>
    </row>
    <row r="13">
      <c r="B13" s="35" t="s">
        <v>195</v>
      </c>
      <c r="C13" s="70">
        <v>0.0</v>
      </c>
      <c r="D13" s="71" t="s">
        <v>197</v>
      </c>
      <c r="E13" s="72">
        <f>A18</f>
        <v>142.92</v>
      </c>
      <c r="F13" s="31"/>
      <c r="G13" s="31"/>
      <c r="H13" s="7"/>
      <c r="I13" s="7"/>
      <c r="J13" s="7"/>
      <c r="K13" s="7"/>
      <c r="L13" s="7"/>
      <c r="M13" s="7"/>
      <c r="N13" s="7"/>
      <c r="O13" s="13" t="s">
        <v>108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B14" s="35" t="s">
        <v>202</v>
      </c>
      <c r="C14" s="73" t="str">
        <f>IFERROR(TEXTJOIN(" | ",TRUE, IF(L6="","",L6),
IF(L7="","",L7),
IF(L8="","",L8),
IF(L9="","",L9)),"No active weapon traits")</f>
        <v/>
      </c>
      <c r="D14" s="74"/>
      <c r="E14" s="75"/>
      <c r="F14" s="31"/>
      <c r="G14" s="31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1.0" customHeight="1">
      <c r="B15" s="31"/>
      <c r="F15" s="31"/>
      <c r="G15" s="31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B16" s="33" t="s">
        <v>204</v>
      </c>
      <c r="F16" s="31"/>
      <c r="G16" s="31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1.0" customHeight="1">
      <c r="B17" s="34" t="s">
        <v>205</v>
      </c>
      <c r="C17" s="34" t="s">
        <v>206</v>
      </c>
      <c r="D17" s="34" t="s">
        <v>207</v>
      </c>
      <c r="E17" s="34" t="s">
        <v>208</v>
      </c>
      <c r="F17" s="31"/>
      <c r="G17" s="31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1.0" customHeight="1">
      <c r="A18" s="76">
        <f>IFERROR(VLOOKUP(D12,'_Weapon'!$C$2:$E$80,3,0)*E10*(1+E12/100),1)</f>
        <v>142.92</v>
      </c>
      <c r="B18" s="77" t="s">
        <v>209</v>
      </c>
      <c r="C18" s="78">
        <f>IFERROR(VLOOKUP(D12,'_Weapon'!$C$2:$E$80,3,0)*E10*SWITCH(C13,0,1,1,1.05,2,1.1,3,1.15,4,1.2,5,1.25,6,1.3,7,1.35,8,1.4,9,1.5,1)*(1+E12/100),1)</f>
        <v>142.92</v>
      </c>
      <c r="D18" s="77" t="s">
        <v>210</v>
      </c>
      <c r="E18" s="79">
        <f>1/C19</f>
        <v>1.265822785</v>
      </c>
      <c r="F18" s="31"/>
      <c r="G18" s="31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31"/>
      <c r="B19" s="77" t="s">
        <v>211</v>
      </c>
      <c r="C19" s="80">
        <f>IFERROR(VLOOKUP(D12,'_Weapon'!$C$2:$E$80,2,0),1)</f>
        <v>0.79</v>
      </c>
      <c r="D19" s="77" t="s">
        <v>212</v>
      </c>
      <c r="E19" s="81">
        <f>C18*(1+E44)*(MIN(C20+E45,1)*(C21+E46)+(1-MIN(C20+E45,1)))</f>
        <v>142.92</v>
      </c>
      <c r="F19" s="31"/>
      <c r="G19" s="31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1.0" customHeight="1">
      <c r="B20" s="77" t="s">
        <v>213</v>
      </c>
      <c r="C20" s="82">
        <v>0.0</v>
      </c>
      <c r="D20" s="77" t="s">
        <v>214</v>
      </c>
      <c r="E20" s="79">
        <f>C19/(1+E47)</f>
        <v>0.79</v>
      </c>
      <c r="F20" s="31"/>
      <c r="G20" s="31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1.0" customHeight="1">
      <c r="B21" s="77" t="s">
        <v>215</v>
      </c>
      <c r="C21" s="82">
        <v>1.45</v>
      </c>
      <c r="D21" s="77" t="s">
        <v>216</v>
      </c>
      <c r="E21" s="79">
        <f>1/E20</f>
        <v>1.265822785</v>
      </c>
      <c r="F21" s="31"/>
      <c r="G21" s="31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B22" s="77" t="s">
        <v>217</v>
      </c>
      <c r="C22" s="83" t="s">
        <v>2</v>
      </c>
      <c r="D22" s="77" t="s">
        <v>218</v>
      </c>
      <c r="E22" s="85" t="str">
        <f t="array" ref="E22">IF(IFERROR(TEXTJOIN(", ",TRUE,IF(INDEX('_Options'!$F$2:$U$17,MATCH(C22,'_Options'!$E$2:$E$17,0),0)=TRUE,'_Options'!$F$1:$U$1,"")),"")="","N/A",IFERROR(TEXTJOIN(", ",TRUE,IF(INDEX('_Options'!$F$2:$U$17,MATCH(C22,'_Options'!$E$2:$E$17,0),0)=TRUE,'_Options'!$F$1:$U$1,"")),""))</f>
        <v>N/A</v>
      </c>
      <c r="F22" s="31"/>
      <c r="G22" s="31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1.0" customHeight="1">
      <c r="B23" s="77" t="s">
        <v>221</v>
      </c>
      <c r="C23" s="83" t="s">
        <v>9</v>
      </c>
      <c r="D23" s="77" t="s">
        <v>223</v>
      </c>
      <c r="E23" s="85" t="b">
        <f>IFS(
  AND(C22="Goblin", C23="Dagger"), TRUE,
  AND(C22="Golem",    C23="Colossal Sword"), TRUE,
  AND(C22="Golem", C23="Great Axe"), TRUE,
  AND(C22="Felynx", C23="Gauntlets"), TRUE,
  AND(C22="Vampire",C23="Straight Sword"), TRUE,
TRUE, FALSE
)</f>
        <v>0</v>
      </c>
      <c r="F23" s="31"/>
      <c r="G23" s="31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B24" s="31"/>
      <c r="F24" s="31"/>
      <c r="G24" s="31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B25" s="33" t="s">
        <v>231</v>
      </c>
      <c r="F25" s="31"/>
      <c r="G25" s="31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B26" s="34" t="s">
        <v>234</v>
      </c>
      <c r="C26" s="34" t="s">
        <v>235</v>
      </c>
      <c r="D26" s="34" t="s">
        <v>236</v>
      </c>
      <c r="E26" s="34"/>
      <c r="F26" s="31"/>
      <c r="G26" s="31"/>
      <c r="H26" s="7"/>
      <c r="I26" s="41"/>
      <c r="J26" s="40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2.5" customHeight="1">
      <c r="A27" s="102">
        <f>IF(ISNUMBER(SEARCH("Lethality",C27)),VALUE(MID(C27,FIND("+",C27)+1,LEN(C27)-FIND("+",C27)-1))/100,0)+IF(ISNUMBER(SEARCH("Lethality",D27)),VALUE(MID(D27,FIND("+",D27)+1,LEN(D27)-FIND("+",D27)-1))/100,0)+IF(ISNUMBER(SEARCH("Lethality",C28)),VALUE(MID(C28,FIND("+",C28)+1,LEN(C28)-FIND("+",C28)-1))/100,0)+IF(ISNUMBER(SEARCH("Lethality",D28)),VALUE(MID(D28,FIND("+",D28)+1,LEN(D28)-FIND("+",D28)-1))/100,0)+IF(ISNUMBER(SEARCH("Lethality",C29)),VALUE(MID(C29,FIND("+",C29)+1,LEN(C29)-FIND("+",C29)-1))/100,0)+IF(ISNUMBER(SEARCH("Lethality",D29)),VALUE(MID(D29,FIND("+",D29)+1,LEN(D29)-FIND("+",D29)-1))/100,0)</f>
        <v>0</v>
      </c>
      <c r="B27" s="77" t="s">
        <v>243</v>
      </c>
      <c r="C27" s="103" t="s">
        <v>0</v>
      </c>
      <c r="D27" s="103" t="s">
        <v>0</v>
      </c>
      <c r="E27" s="77" t="s">
        <v>245</v>
      </c>
      <c r="F27" s="104"/>
      <c r="G27" s="104"/>
      <c r="H27" s="7"/>
      <c r="I27" s="4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1.75" customHeight="1">
      <c r="A28" s="102">
        <f>IF(ISNUMBER(SEARCH("Crit Chance",C27)),VALUE(MID(C27,FIND("+",C27)+1,LEN(C27)-FIND("+",C27)-1))/100,0)+IF(ISNUMBER(SEARCH("Crit Chance",D27)),VALUE(MID(D27,FIND("+",D27)+1,LEN(D27)-FIND("+",D27)-1))/100,0)+IF(ISNUMBER(SEARCH("Crit Chance",C28)),VALUE(MID(C28,FIND("+",C28)+1,LEN(C28)-FIND("+",C28)-1))/100,0)+IF(ISNUMBER(SEARCH("Crit Chance",D28)),VALUE(MID(D28,FIND("+",D28)+1,LEN(D28)-FIND("+",D28)-1))/100,0)+IF(ISNUMBER(SEARCH("Crit Chance",C29)),VALUE(MID(C29,FIND("+",C29)+1,LEN(C29)-FIND("+",C29)-1))/100,0)+IF(ISNUMBER(SEARCH("Crit Chance",D29)),VALUE(MID(D29,FIND("+",D29)+1,LEN(D29)-FIND("+",D29)-1))/100,0)</f>
        <v>0</v>
      </c>
      <c r="B28" s="77" t="s">
        <v>253</v>
      </c>
      <c r="C28" s="103" t="s">
        <v>0</v>
      </c>
      <c r="D28" s="103" t="s">
        <v>0</v>
      </c>
      <c r="E28" s="77" t="s">
        <v>254</v>
      </c>
      <c r="F28" s="104"/>
      <c r="H28" s="7"/>
      <c r="I28" s="40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2.5" customHeight="1">
      <c r="A29" s="102">
        <f>IF(ISNUMBER(SEARCH("Crit DMG",C27)),VALUE(MID(C27,FIND("+",C27)+1,LEN(C27)-FIND("+",C27)-1))/100,0)+IF(ISNUMBER(SEARCH("Crit DMG",D27)),VALUE(MID(D27,FIND("+",D27)+1,LEN(D27)-FIND("+",D27)-1))/100,0)+IF(ISNUMBER(SEARCH("Crit DMG",C28)),VALUE(MID(C28,FIND("+",C28)+1,LEN(C28)-FIND("+",C28)-1))/100,0)+IF(ISNUMBER(SEARCH("Crit DMG",D28)),VALUE(MID(D28,FIND("+",D28)+1,LEN(D28)-FIND("+",D28)-1))/100,0)+IF(ISNUMBER(SEARCH("Crit DMG",C29)),VALUE(MID(C29,FIND("+",C29)+1,LEN(C29)-FIND("+",C29)-1))/100,0)+IF(ISNUMBER(SEARCH("Crit DMG",D29)),VALUE(MID(D29,FIND("+",D29)+1,LEN(D29)-FIND("+",D29)-1))/100,0)</f>
        <v>0</v>
      </c>
      <c r="B29" s="77" t="s">
        <v>261</v>
      </c>
      <c r="C29" s="83" t="s">
        <v>0</v>
      </c>
      <c r="D29" s="103" t="s">
        <v>0</v>
      </c>
      <c r="E29" s="77" t="s">
        <v>254</v>
      </c>
      <c r="F29" s="104"/>
      <c r="H29" s="7"/>
      <c r="I29" s="4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02">
        <f>IF(ISNUMBER(SEARCH("Atk Speed",C27)),VALUE(MID(C27,FIND("+",C27)+1,LEN(C27)-FIND("+",C27)-1))/100,0)+IF(ISNUMBER(SEARCH("Atk Speed",D27)),VALUE(MID(D27,FIND("+",D27)+1,LEN(D27)-FIND("+",D27)-1))/100,0)+IF(ISNUMBER(SEARCH("Atk Speed",C28)),VALUE(MID(C28,FIND("+",C28)+1,LEN(C28)-FIND("+",C28)-1))/100,0)+IF(ISNUMBER(SEARCH("Atk Speed",D28)),VALUE(MID(D28,FIND("+",D28)+1,LEN(D28)-FIND("+",D28)-1))/100,0)+IF(ISNUMBER(SEARCH("Atk Speed",C29)),VALUE(MID(C29,FIND("+",C29)+1,LEN(C29)-FIND("+",C29)-1))/100,0)+IF(ISNUMBER(SEARCH("Atk Speed",D29)),VALUE(MID(D29,FIND("+",D29)+1,LEN(D29)-FIND("+",D29)-1))/100,0)</f>
        <v>0</v>
      </c>
      <c r="B30" s="77" t="s">
        <v>181</v>
      </c>
      <c r="C30" s="117" t="str">
        <f>TEXT(A27*100,"0.0")&amp;"% Leth  +"&amp;TEXT(A28*100,"0.0")&amp;"% CC  +"&amp;TEXT(A29*100,"0.0")&amp;"% CD  +"&amp;TEXT(A30*100,"0.0")&amp;"% AS"</f>
        <v>0.0% Leth  +0.0% CC  +0.0% CD  +0.0% AS</v>
      </c>
      <c r="E30" s="118"/>
      <c r="F30" s="10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20">
        <f>IF(ISNUMBER(SEARCH("Atk Speed",C27)),VALUE(MID(C27,FIND("+",C27)+1,LEN(C27)-FIND("+",C27)-1))/100,0)+IF(ISNUMBER(SEARCH("Atk Speed",D27)),VALUE(MID(D27,FIND("+",D27)+1,LEN(D27)-FIND("+",D27)-1))/100,0)+IF(ISNUMBER(SEARCH("Atk Speed",C28)),VALUE(MID(C28,FIND("+",C28)+1,LEN(C28)-FIND("+",C28)-1))/100,0)+IF(ISNUMBER(SEARCH("Atk Speed",D28)),VALUE(MID(D28,FIND("+",D28)+1,LEN(D28)-FIND("+",D28)-1))/100,0)+IF(ISNUMBER(SEARCH("Atk Speed",C29)),VALUE(MID(C29,FIND("+",C29)+1,LEN(C29)-FIND("+",C29)-1))/100,0)+IF(ISNUMBER(SEARCH("Atk Speed",D29)),VALUE(MID(D29,FIND("+",D29)+1,LEN(D29)-FIND("+",D29)-1))/100,0)</f>
        <v>0</v>
      </c>
      <c r="B31" s="121"/>
      <c r="C31" s="121"/>
      <c r="D31" s="121"/>
      <c r="E31" s="121"/>
      <c r="F31" s="121"/>
      <c r="G31" s="121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124" t="s">
        <v>276</v>
      </c>
      <c r="B32" s="33" t="s">
        <v>277</v>
      </c>
      <c r="F32" s="121"/>
      <c r="G32" s="121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1.0" customHeight="1">
      <c r="A33" s="121"/>
      <c r="B33" s="126" t="s">
        <v>279</v>
      </c>
      <c r="C33" s="34" t="s">
        <v>281</v>
      </c>
      <c r="D33" s="34" t="s">
        <v>283</v>
      </c>
      <c r="E33" s="34" t="s">
        <v>284</v>
      </c>
      <c r="F33" s="121"/>
      <c r="G33" s="121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5.5" customHeight="1">
      <c r="A34" s="121"/>
      <c r="B34" s="128" t="s">
        <v>286</v>
      </c>
      <c r="C34" s="129">
        <v>0.0</v>
      </c>
      <c r="D34" s="130">
        <v>0.0</v>
      </c>
      <c r="E34" s="129">
        <v>0.0</v>
      </c>
      <c r="F34" s="121"/>
      <c r="G34" s="121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4.0" customHeight="1">
      <c r="A35" s="121"/>
      <c r="B35" s="131" t="s">
        <v>289</v>
      </c>
      <c r="C35" s="130">
        <v>0.0</v>
      </c>
      <c r="D35" s="130">
        <v>0.0</v>
      </c>
      <c r="E35" s="129">
        <v>0.0</v>
      </c>
      <c r="F35" s="121"/>
      <c r="G35" s="12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1.0" customHeight="1">
      <c r="A36" s="121"/>
      <c r="B36" s="131" t="s">
        <v>291</v>
      </c>
      <c r="C36" s="132">
        <v>0.0</v>
      </c>
      <c r="D36" s="133">
        <v>0.0</v>
      </c>
      <c r="E36" s="134"/>
      <c r="F36" s="121"/>
      <c r="G36" s="121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1.0" customHeight="1">
      <c r="A37" s="121"/>
      <c r="B37" s="121"/>
      <c r="C37" s="121"/>
      <c r="D37" s="121"/>
      <c r="E37" s="121"/>
      <c r="F37" s="121"/>
      <c r="G37" s="121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121"/>
      <c r="B38" s="33" t="s">
        <v>297</v>
      </c>
      <c r="F38" s="121"/>
      <c r="G38" s="121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121"/>
      <c r="B39" s="34" t="s">
        <v>300</v>
      </c>
      <c r="C39" s="34" t="s">
        <v>301</v>
      </c>
      <c r="D39" s="34" t="s">
        <v>302</v>
      </c>
      <c r="E39" s="34" t="s">
        <v>303</v>
      </c>
      <c r="F39" s="121"/>
      <c r="G39" s="121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121"/>
      <c r="B40" s="34" t="s">
        <v>304</v>
      </c>
      <c r="F40" s="121"/>
      <c r="G40" s="121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21"/>
      <c r="B41" s="135" t="s">
        <v>306</v>
      </c>
      <c r="C41" s="136">
        <v>0.0</v>
      </c>
      <c r="D41" s="128" t="s">
        <v>307</v>
      </c>
      <c r="E41" s="137">
        <f t="shared" ref="E41:E42" si="3">MIN(C41, 100%)</f>
        <v>0</v>
      </c>
      <c r="F41" s="121"/>
      <c r="G41" s="121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5.5" customHeight="1">
      <c r="A42" s="121"/>
      <c r="B42" s="135" t="s">
        <v>309</v>
      </c>
      <c r="C42" s="136">
        <v>0.0</v>
      </c>
      <c r="E42" s="138">
        <f t="shared" si="3"/>
        <v>0</v>
      </c>
      <c r="F42" s="121"/>
      <c r="G42" s="121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2.5" customHeight="1">
      <c r="A43" s="121"/>
      <c r="B43" s="139" t="s">
        <v>313</v>
      </c>
      <c r="C43" s="140">
        <v>0.0</v>
      </c>
      <c r="E43" s="141">
        <f>MIN(C43, 150%)</f>
        <v>0</v>
      </c>
      <c r="F43" s="121"/>
      <c r="G43" s="12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21"/>
      <c r="B44" s="139" t="s">
        <v>317</v>
      </c>
      <c r="C44" s="144">
        <f>IFS(C6="Wolfarite",IF(SUM($D$6:$D$9)=0,0,IF(D6/SUM($D$6:$D$9)&lt;0.1,0,(1.5+(15-1.5)*MIN((D6/SUM($D$6:$D$9)-0.1)/0.2,1))/100)),C6="Eye Ore",IF(SUM($D$6:$D$9)=0,0,IF(D6/SUM($D$6:$D$9)&lt;0.1,0,(1.5+(15-1.5)*MIN((D6/SUM($D$6:$D$9)-0.1)/0.2,1))/100)),C6="Frost Fossil",IF(SUM($D$6:$D$9)=0,0,IF(D6/SUM($D$6:$D$9)&lt;0.1,0,(1.75+(17.5-1.75)*MIN((D6/SUM($D$6:$D$9)-0.1)/0.2,1))/100)),C6="Crimsonite",IF(SUM($D$6:$D$9)=0,0,IF(D6/SUM($D$6:$D$9)&lt;0.1,0,(2+(20-2)*MIN((D6/SUM($D$6:$D$9)-0.1)/0.2,1))/100)),C6="Tigers Eye",IF(SUM($D$6:$D$9)=0,0,IF(D6/SUM($D$6:$D$9)&lt;0.1,0,(0.5+(5-0.5)*MIN((D6/SUM($D$6:$D$9)-0.1)/0.2,1))/100)),C6="Sealed Curse",IF(SUM($D$6:$D$9)=0,0,IF(D6/SUM($D$6:$D$9)&lt;0.1,0,(3+(30-3)*MIN((D6/SUM($D$6:$D$9)-0.1)/0.2,1))/100)),C6="Kokorite",IF(SUM($D$6:$D$9)=0,0,IF(D6/SUM($D$6:$D$9)&lt;0.1,0,(3+(30-3)*MIN((D6/SUM($D$6:$D$9)-0.1)/0.2,1))/100)),TRUE,0)+IFS(C7="Wolfarite",IF(SUM($D$6:$D$9)=0,0,IF(D7/SUM($D$6:$D$9)&lt;0.1,0,(1.5+(15-1.5)*MIN((D7/SUM($D$6:$D$9)-0.1)/0.2,1))/100)),C7="Eye Ore",IF(SUM($D$6:$D$9)=0,0,IF(D7/SUM($D$6:$D$9)&lt;0.1,0,(1.5+(15-1.5)*MIN((D7/SUM($D$6:$D$9)-0.1)/0.2,1))/100)),C7="Frost Fossil",IF(SUM($D$6:$D$9)=0,0,IF(D7/SUM($D$6:$D$9)&lt;0.1,0,(1.75+(17.5-1.75)*MIN((D7/SUM($D$6:$D$9)-0.1)/0.2,1))/100)),C7="Crimsonite",IF(SUM($D$6:$D$9)=0,0,IF(D7/SUM($D$6:$D$9)&lt;0.1,0,(2+(20-2)*MIN((D7/SUM($D$6:$D$9)-0.1)/0.2,1))/100)),C7="Tigers Eye",IF(SUM($D$6:$D$9)=0,0,IF(D7/SUM($D$6:$D$9)&lt;0.1,0,(0.5+(5-0.5)*MIN((D7/SUM($D$6:$D$9)-0.1)/0.2,1))/100)),C7="Sealed Curse",IF(SUM($D$6:$D$9)=0,0,IF(D7/SUM($D$6:$D$9)&lt;0.1,0,(3+(30-3)*MIN((D7/SUM($D$6:$D$9)-0.1)/0.2,1))/100)),C7="Kokorite",IF(SUM($D$6:$D$9)=0,0,IF(D7/SUM($D$6:$D$9)&lt;0.1,0,(3+(30-3)*MIN((D7/SUM($D$6:$D$9)-0.1)/0.2,1))/100)),TRUE,0)+IFS(C8="Wolfarite",IF(SUM($D$6:$D$9)=0,0,IF(D8/SUM($D$6:$D$9)&lt;0.1,0,(1.5+(15-1.5)*MIN((D8/SUM($D$6:$D$9)-0.1)/0.2,1))/100)),C8="Eye Ore",IF(SUM($D$6:$D$9)=0,0,IF(D8/SUM($D$6:$D$9)&lt;0.1,0,(1.5+(15-1.5)*MIN((D8/SUM($D$6:$D$9)-0.1)/0.2,1))/100)),C8="Frost Fossil",IF(SUM($D$6:$D$9)=0,0,IF(D8/SUM($D$6:$D$9)&lt;0.1,0,(1.75+(17.5-1.75)*MIN((D8/SUM($D$6:$D$9)-0.1)/0.2,1))/100)),C8="Crimsonite",IF(SUM($D$6:$D$9)=0,0,IF(D8/SUM($D$6:$D$9)&lt;0.1,0,(2+(20-2)*MIN((D8/SUM($D$6:$D$9)-0.1)/0.2,1))/100)),C8="Tigers Eye",IF(SUM($D$6:$D$9)=0,0,IF(D8/SUM($D$6:$D$9)&lt;0.1,0,(0.5+(5-0.5)*MIN((D8/SUM($D$6:$D$9)-0.1)/0.2,1))/100)),C8="Sealed Curse",IF(SUM($D$6:$D$9)=0,0,IF(D8/SUM($D$6:$D$9)&lt;0.1,0,(3+(30-3)*MIN((D8/SUM($D$6:$D$9)-0.1)/0.2,1))/100)),C8="Kokorite",IF(SUM($D$6:$D$9)=0,0,IF(D8/SUM($D$6:$D$9)&lt;0.1,0,(3+(30-3)*MIN((D8/SUM($D$6:$D$9)-0.1)/0.2,1))/100)),TRUE,0)+IFS(C9="Wolfarite",IF(SUM($D$6:$D$9)=0,0,IF(D9/SUM($D$6:$D$9)&lt;0.1,0,(1.5+(15-1.5)*MIN((D9/SUM($D$6:$D$9)-0.1)/0.2,1))/100)),C9="Eye Ore",IF(SUM($D$6:$D$9)=0,0,IF(D9/SUM($D$6:$D$9)&lt;0.1,0,(1.5+(15-1.5)*MIN((D9/SUM($D$6:$D$9)-0.1)/0.2,1))/100)),C9="Frost Fossil",IF(SUM($D$6:$D$9)=0,0,IF(D9/SUM($D$6:$D$9)&lt;0.1,0,(1.75+(17.5-1.75)*MIN((D9/SUM($D$6:$D$9)-0.1)/0.2,1))/100)),C9="Crimsonite",IF(SUM($D$6:$D$9)=0,0,IF(D9/SUM($D$6:$D$9)&lt;0.1,0,(2+(20-2)*MIN((D9/SUM($D$6:$D$9)-0.1)/0.2,1))/100)),C9="Tigers Eye",IF(SUM($D$6:$D$9)=0,0,IF(D9/SUM($D$6:$D$9)&lt;0.1,0,(0.5+(5-0.5)*MIN((D9/SUM($D$6:$D$9)-0.1)/0.2,1))/100)),C9="Sealed Curse",IF(SUM($D$6:$D$9)=0,0,IF(D9/SUM($D$6:$D$9)&lt;0.1,0,(3+(30-3)*MIN((D9/SUM($D$6:$D$9)-0.1)/0.2,1))/100)),C9="Kokorite",IF(SUM($D$6:$D$9)=0,0,IF(D9/SUM($D$6:$D$9)&lt;0.1,0,(3+(30-3)*MIN((D9/SUM($D$6:$D$9)-0.1)/0.2,1))/100)),TRUE,0)+C43
</f>
        <v>0</v>
      </c>
      <c r="E44" s="145">
        <f>MIN(A27+A44+C44+SWITCH(C22,"Archangel",20%,"Demon",20%,"Orc",10%,"Shadow",5%,"Dragonborn",12%,0)+IFS(AND(C22="Felynx",C23="Gauntlet"),20%,AND(C22="Vampire",C23="Straight Sword"),10%,TRUE,0)+IF(ISNUMBER(SEARCH("Damage Boost",C80)),VALUE(MID(C80,FIND("+",C80)+1,LEN(C80)-FIND("+",C80)-1))/100,0),150%)</f>
        <v>0</v>
      </c>
      <c r="F44" s="121"/>
      <c r="G44" s="12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121"/>
      <c r="B45" s="128" t="s">
        <v>352</v>
      </c>
      <c r="C45" s="149">
        <f>IFS(C6="Prismatic Heart",IF(SUM($D$6:$D$9)=0,0,IF(D6/SUM($D$6:$D$9)&lt;0.1,0,(2+(20-2)*MIN((D6/SUM($D$6:$D$9)-0.1)/0.2,1))/100)),C6="Voidstar",IF(SUM($D$6:$D$9)=0,0,IF(D6/SUM($D$6:$D$9)&lt;0.1,0,(3.3+(33-3.3)*MIN((D6/SUM($D$6:$D$9)-0.1)/0.2,1))/100)),C6="Yeti Heart",IF(SUM($D$6:$D$9)=0,0,IF(D6/SUM($D$6:$D$9)&lt;0.1,0,(3+(30-3)*MIN((D6/SUM($D$6:$D$9)-0.1)/0.2,1))/100)),C6="Yang",IF(SUM($D$6:$D$9)=0,0,IF(D6/SUM($D$6:$D$9)&lt;0.1,0,(4+(40-4)*MIN((D6/SUM($D$6:$D$9)-0.1)/0.2,1))/100)),C6="Golem Heart",IF(SUM($D$6:$D$9)=0,0,IF(D6/SUM($D$6:$D$9)&lt;0.1,0,(4+(40-4)*MIN((D6/SUM($D$6:$D$9)-0.1)/0.2,1))/100)),C6="Onyx",IF(SUM($D$6:$D$9)=0,0,IF(D6/SUM($D$6:$D$9)&lt;0.1,0,(3.5+(35-3.5)*MIN((D6/SUM($D$6:$D$9)-0.1)/0.2,1))/100)),C6="Kyubite",IF(SUM($D$6:$D$9)=0,0,IF(D6/SUM($D$6:$D$9)&lt;0.1,0,(4+(40-4)*MIN((D6/SUM($D$6:$D$9)-0.1)/0.2,1))/100)),C6="Rivalite",IF(SUM($D$6:$D$9)=0,0,IF(D6/SUM($D$6:$D$9)&lt;0.1,0,(2+(20-2)*MIN((D6/SUM($D$6:$D$9)-0.1)/0.2,1))/100)),C6="Yin-Yang",IF(SUM($D$6:$D$9)=0,0,IF(D6/SUM($D$6:$D$9)&lt;0.1,0,(4.5+(45-4.5)*MIN((D6/SUM($D$6:$D$9)-0.1)/0.2,1))/100)),C6="Galaxite",IF(SUM($D$6:$D$9)=0,0,IF(D6/SUM($D$6:$D$9)&lt;0.1,0,(4.5+(45-4.5)*MIN((D6/SUM($D$6:$D$9)-0.1)/0.2,1))/100)),TRUE,0)+IFS(C7="Prismatic Heart",IF(SUM($D$6:$D$9)=0,0,IF(D7/SUM($D$6:$D$9)&lt;0.1,0,(2+(20-2)*MIN((D7/SUM($D$6:$D$9)-0.1)/0.2,1))/100)),C7="Voidstar",IF(SUM($D$6:$D$9)=0,0,IF(D7/SUM($D$6:$D$9)&lt;0.1,0,(3.3+(33-3.3)*MIN((D7/SUM($D$6:$D$9)-0.1)/0.2,1))/100)),C7="Yeti Heart",IF(SUM($D$6:$D$9)=0,0,IF(D7/SUM($D$6:$D$9)&lt;0.1,0,(3+(30-3)*MIN((D7/SUM($D$6:$D$9)-0.1)/0.2,1))/100)),C7="Yang",IF(SUM($D$6:$D$9)=0,0,IF(D7/SUM($D$6:$D$9)&lt;0.1,0,(4+(40-4)*MIN((D7/SUM($D$6:$D$9)-0.1)/0.2,1))/100)),C7="Golem Heart",IF(SUM($D$6:$D$9)=0,0,IF(D7/SUM($D$6:$D$9)&lt;0.1,0,(4+(40-4)*MIN((D7/SUM($D$6:$D$9)-0.1)/0.2,1))/100)),C7="Onyx",IF(SUM($D$6:$D$9)=0,0,IF(D7/SUM($D$6:$D$9)&lt;0.1,0,(3.5+(35-3.5)*MIN((D7/SUM($D$6:$D$9)-0.1)/0.2,1))/100)),C7="Kyubite",IF(SUM($D$6:$D$9)=0,0,IF(D7/SUM($D$6:$D$9)&lt;0.1,0,(4+(40-4)*MIN((D7/SUM($D$6:$D$9)-0.1)/0.2,1))/100)),C7="Rivalite",IF(SUM($D$6:$D$9)=0,0,IF(D7/SUM($D$6:$D$9)&lt;0.1,0,(2+(20-2)*MIN((D7/SUM($D$6:$D$9)-0.1)/0.2,1))/100)),C7="Yin-Yang",IF(SUM($D$6:$D$9)=0,0,IF(D7/SUM($D$6:$D$9)&lt;0.1,0,(4.5+(45-4.5)*MIN((D7/SUM($D$6:$D$9)-0.1)/0.2,1))/100)),C7="Galaxite",IF(SUM($D$6:$D$9)=0,0,IF(D7/SUM($D$6:$D$9)&lt;0.1,0,(4.5+(45-4.5)*MIN((D7/SUM($D$6:$D$9)-0.1)/0.2,1))/100)),TRUE,0)+IFS(C8="Prismatic Heart",IF(SUM($D$6:$D$9)=0,0,IF(D8/SUM($D$6:$D$9)&lt;0.1,0,(2+(20-2)*MIN((D8/SUM($D$6:$D$9)-0.1)/0.2,1))/100)),C8="Voidstar",IF(SUM($D$6:$D$9)=0,0,IF(D8/SUM($D$6:$D$9)&lt;0.1,0,(3.3+(33-3.3)*MIN((D8/SUM($D$6:$D$9)-0.1)/0.2,1))/100)),C8="Yeti Heart",IF(SUM($D$6:$D$9)=0,0,IF(D8/SUM($D$6:$D$9)&lt;0.1,0,(3+(30-3)*MIN((D8/SUM($D$6:$D$9)-0.1)/0.2,1))/100)),C8="Yang",IF(SUM($D$6:$D$9)=0,0,IF(D8/SUM($D$6:$D$9)&lt;0.1,0,(4+(40-4)*MIN((D8/SUM($D$6:$D$9)-0.1)/0.2,1))/100)),C8="Golem Heart",IF(SUM($D$6:$D$9)=0,0,IF(D8/SUM($D$6:$D$9)&lt;0.1,0,(4+(40-4)*MIN((D8/SUM($D$6:$D$9)-0.1)/0.2,1))/100)),C8="Onyx",IF(SUM($D$6:$D$9)=0,0,IF(D8/SUM($D$6:$D$9)&lt;0.1,0,(3.5+(35-3.5)*MIN((D8/SUM($D$6:$D$9)-0.1)/0.2,1))/100)),C8="Kyubite",IF(SUM($D$6:$D$9)=0,0,IF(D8/SUM($D$6:$D$9)&lt;0.1,0,(4+(40-4)*MIN((D8/SUM($D$6:$D$9)-0.1)/0.2,1))/100)),C8="Rivalite",IF(SUM($D$6:$D$9)=0,0,IF(D8/SUM($D$6:$D$9)&lt;0.1,0,(2+(20-2)*MIN((D8/SUM($D$6:$D$9)-0.1)/0.2,1))/100)),C8="Yin-Yang",IF(SUM($D$6:$D$9)=0,0,IF(D8/SUM($D$6:$D$9)&lt;0.1,0,(4.5+(45-4.5)*MIN((D8/SUM($D$6:$D$9)-0.1)/0.2,1))/100)),C8="Galaxite",IF(SUM($D$6:$D$9)=0,0,IF(D8/SUM($D$6:$D$9)&lt;0.1,0,(4.5+(45-4.5)*MIN((D8/SUM($D$6:$D$9)-0.1)/0.2,1))/100)),TRUE,0)+IFS(C9="Prismatic Heart",IF(SUM($D$6:$D$9)=0,0,IF(D9/SUM($D$6:$D$9)&lt;0.1,0,(2+(20-2)*MIN((D9/SUM($D$6:$D$9)-0.1)/0.2,1))/100)),C9="Voidstar",IF(SUM($D$6:$D$9)=0,0,IF(D9/SUM($D$6:$D$9)&lt;0.1,0,(3.3+(33-3.3)*MIN((D9/SUM($D$6:$D$9)-0.1)/0.2,1))/100)),C9="Yeti Heart",IF(SUM($D$6:$D$9)=0,0,IF(D9/SUM($D$6:$D$9)&lt;0.1,0,(3+(30-3)*MIN((D9/SUM($D$6:$D$9)-0.1)/0.2,1))/100)),C9="Yang",IF(SUM($D$6:$D$9)=0,0,IF(D9/SUM($D$6:$D$9)&lt;0.1,0,(4+(40-4)*MIN((D9/SUM($D$6:$D$9)-0.1)/0.2,1))/100)),C9="Golem Heart",IF(SUM($D$6:$D$9)=0,0,IF(D9/SUM($D$6:$D$9)&lt;0.1,0,(4+(40-4)*MIN((D9/SUM($D$6:$D$9)-0.1)/0.2,1))/100)),C9="Onyx",IF(SUM($D$6:$D$9)=0,0,IF(D9/SUM($D$6:$D$9)&lt;0.1,0,(3.5+(35-3.5)*MIN((D9/SUM($D$6:$D$9)-0.1)/0.2,1))/100)),C9="Kyubite",IF(SUM($D$6:$D$9)=0,0,IF(D9/SUM($D$6:$D$9)&lt;0.1,0,(4+(40-4)*MIN((D9/SUM($D$6:$D$9)-0.1)/0.2,1))/100)),C9="Rivalite",IF(SUM($D$6:$D$9)=0,0,IF(D9/SUM($D$6:$D$9)&lt;0.1,0,(2+(20-2)*MIN((D9/SUM($D$6:$D$9)-0.1)/0.2,1))/100)),C9="Yin-Yang",IF(SUM($D$6:$D$9)=0,0,IF(D9/SUM($D$6:$D$9)&lt;0.1,0,(4.5+(45-4.5)*MIN((D9/SUM($D$6:$D$9)-0.1)/0.2,1))/100)),C9="Galaxite",IF(SUM($D$6:$D$9)=0,0,IF(D9/SUM($D$6:$D$9)&lt;0.1,0,(4.5+(45-4.5)*MIN((D9/SUM($D$6:$D$9)-0.1)/0.2,1))/100)),TRUE,0)+C41
</f>
        <v>0</v>
      </c>
      <c r="E45" s="145">
        <f>MIN(A28+C45+IF(ISNUMBER(SEARCH("Crit Chance",C80)),VALUE(MID(C80,FIND("+",C80)+1,LEN(C80)-FIND("+",C80)-1))/100,0),100%)</f>
        <v>0</v>
      </c>
      <c r="F45" s="121"/>
      <c r="G45" s="12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121"/>
      <c r="B46" s="128" t="s">
        <v>403</v>
      </c>
      <c r="C46" s="149">
        <f>IFS(C6="Prismatic Heart",IF(SUM($D$6:$D$9)=0,0,IF(D6/SUM($D$6:$D$9)&lt;0.1,0,(0.5+(5-0.5)*MIN((D6/SUM($D$6:$D$9)-0.1)/0.2,1))/100)),C6="Voidstar",IF(SUM($D$6:$D$9)=0,0,IF(D6/SUM($D$6:$D$9)&lt;0.1,0,(1.5+(15-1.5)*MIN((D6/SUM($D$6:$D$9)-0.1)/0.2,1))/100)),C6="Yeti Heart",IF(SUM($D$6:$D$9)=0,0,IF(D6/SUM($D$6:$D$9)&lt;0.1,0,(1+(10-1)*MIN((D6/SUM($D$6:$D$9)-0.1)/0.2,1))/100)),C6="Golem Heart",IF(SUM($D$6:$D$9)=0,0,IF(D6/SUM($D$6:$D$9)&lt;0.1,0,(1.5+(15-1.5)*MIN((D6/SUM($D$6:$D$9)-0.1)/0.2,1))/100)),C6="Onyx",IF(SUM($D$6:$D$9)=0,0,IF(D6/SUM($D$6:$D$9)&lt;0.1,0,(1.75+(17.5-1.75)*MIN((D6/SUM($D$6:$D$9)-0.1)/0.2,1))/100)),C6="Yang",IF(SUM($D$6:$D$9)=0,0,IF(D6/SUM($D$6:$D$9)&lt;0.1,0,(1.8+(18-1.8)*MIN((D6/SUM($D$6:$D$9)-0.1)/0.2,1))/100)),C6="Kyubite",IF(SUM($D$6:$D$9)=0,0,IF(D6/SUM($D$6:$D$9)&lt;0.1,0,(1.8+(18-1.8)*MIN((D6/SUM($D$6:$D$9)-0.1)/0.2,1))/100)),C6="Yin-Yang",IF(SUM($D$6:$D$9)=0,0,IF(D6/SUM($D$6:$D$9)&lt;0.1,0,(2+(20-2)*MIN((D6/SUM($D$6:$D$9)-0.1)/0.2,1))/100)),C6="Galaxite",IF(SUM($D$6:$D$9)=0,0,IF(D6/SUM($D$6:$D$9)&lt;0.1,0,(2+(20-2)*MIN((D6/SUM($D$6:$D$9)-0.1)/0.2,1))/100)),TRUE,0)+IFS(C7="Prismatic Heart",IF(SUM($D$6:$D$9)=0,0,IF(D7/SUM($D$6:$D$9)&lt;0.1,0,(0.5+(5-0.5)*MIN((D7/SUM($D$6:$D$9)-0.1)/0.2,1))/100)),C7="Voidstar",IF(SUM($D$6:$D$9)=0,0,IF(D7/SUM($D$6:$D$9)&lt;0.1,0,(1.5+(15-1.5)*MIN((D7/SUM($D$6:$D$9)-0.1)/0.2,1))/100)),C7="Yeti Heart",IF(SUM($D$6:$D$9)=0,0,IF(D7/SUM($D$6:$D$9)&lt;0.1,0,(1+(10-1)*MIN((D7/SUM($D$6:$D$9)-0.1)/0.2,1))/100)),C7="Golem Heart",IF(SUM($D$6:$D$9)=0,0,IF(D7/SUM($D$6:$D$9)&lt;0.1,0,(1.5+(15-1.5)*MIN((D7/SUM($D$6:$D$9)-0.1)/0.2,1))/100)),C7="Onyx",IF(SUM($D$6:$D$9)=0,0,IF(D7/SUM($D$6:$D$9)&lt;0.1,0,(1.75+(17.5-1.75)*MIN((D7/SUM($D$6:$D$9)-0.1)/0.2,1))/100)),C7="Yang",IF(SUM($D$6:$D$9)=0,0,IF(D7/SUM($D$6:$D$9)&lt;0.1,0,(1.8+(18-1.8)*MIN((D7/SUM($D$6:$D$9)-0.1)/0.2,1))/100)),C7="Kyubite",IF(SUM($D$6:$D$9)=0,0,IF(D7/SUM($D$6:$D$9)&lt;0.1,0,(1.8+(18-1.8)*MIN((D7/SUM($D$6:$D$9)-0.1)/0.2,1))/100)),C7="Yin-Yang",IF(SUM($D$6:$D$9)=0,0,IF(D7/SUM($D$6:$D$9)&lt;0.1,0,(2+(20-2)*MIN((D7/SUM($D$6:$D$9)-0.1)/0.2,1))/100)),C7="Galaxite",IF(SUM($D$6:$D$9)=0,0,IF(D7/SUM($D$6:$D$9)&lt;0.1,0,(2+(20-2)*MIN((D7/SUM($D$6:$D$9)-0.1)/0.2,1))/100)),TRUE,0)+IFS(C8="Prismatic Heart",IF(SUM($D$6:$D$9)=0,0,IF(D8/SUM($D$6:$D$9)&lt;0.1,0,(0.5+(5-0.5)*MIN((D8/SUM($D$6:$D$9)-0.1)/0.2,1))/100)),C8="Voidstar",IF(SUM($D$6:$D$9)=0,0,IF(D8/SUM($D$6:$D$9)&lt;0.1,0,(1.5+(15-1.5)*MIN((D8/SUM($D$6:$D$9)-0.1)/0.2,1))/100)),C8="Yeti Heart",IF(SUM($D$6:$D$9)=0,0,IF(D8/SUM($D$6:$D$9)&lt;0.1,0,(1+(10-1)*MIN((D8/SUM($D$6:$D$9)-0.1)/0.2,1))/100)),C8="Golem Heart",IF(SUM($D$6:$D$9)=0,0,IF(D8/SUM($D$6:$D$9)&lt;0.1,0,(1.5+(15-1.5)*MIN((D8/SUM($D$6:$D$9)-0.1)/0.2,1))/100)),C8="Onyx",IF(SUM($D$6:$D$9)=0,0,IF(D8/SUM($D$6:$D$9)&lt;0.1,0,(1.75+(17.5-1.75)*MIN((D8/SUM($D$6:$D$9)-0.1)/0.2,1))/100)),C8="Yang",IF(SUM($D$6:$D$9)=0,0,IF(D8/SUM($D$6:$D$9)&lt;0.1,0,(1.8+(18-1.8)*MIN((D8/SUM($D$6:$D$9)-0.1)/0.2,1))/100)),C8="Kyubite",IF(SUM($D$6:$D$9)=0,0,IF(D8/SUM($D$6:$D$9)&lt;0.1,0,(1.8+(18-1.8)*MIN((D8/SUM($D$6:$D$9)-0.1)/0.2,1))/100)),C8="Yin-Yang",IF(SUM($D$6:$D$9)=0,0,IF(D8/SUM($D$6:$D$9)&lt;0.1,0,(2+(20-2)*MIN((D8/SUM($D$6:$D$9)-0.1)/0.2,1))/100)),C8="Galaxite",IF(SUM($D$6:$D$9)=0,0,IF(D8/SUM($D$6:$D$9)&lt;0.1,0,(2+(20-2)*MIN((D8/SUM($D$6:$D$9)-0.1)/0.2,1))/100)),TRUE,0)+IFS(C9="Prismatic Heart",IF(SUM($D$6:$D$9)=0,0,IF(D9/SUM($D$6:$D$9)&lt;0.1,0,(0.5+(5-0.5)*MIN((D9/SUM($D$6:$D$9)-0.1)/0.2,1))/100)),C9="Voidstar",IF(SUM($D$6:$D$9)=0,0,IF(D9/SUM($D$6:$D$9)&lt;0.1,0,(1.5+(15-1.5)*MIN((D9/SUM($D$6:$D$9)-0.1)/0.2,1))/100)),C9="Yeti Heart",IF(SUM($D$6:$D$9)=0,0,IF(D9/SUM($D$6:$D$9)&lt;0.1,0,(1+(10-1)*MIN((D9/SUM($D$6:$D$9)-0.1)/0.2,1))/100)),C9="Golem Heart",IF(SUM($D$6:$D$9)=0,0,IF(D9/SUM($D$6:$D$9)&lt;0.1,0,(1.5+(15-1.5)*MIN((D9/SUM($D$6:$D$9)-0.1)/0.2,1))/100)),C9="Onyx",IF(SUM($D$6:$D$9)=0,0,IF(D9/SUM($D$6:$D$9)&lt;0.1,0,(1.75+(17.5-1.75)*MIN((D9/SUM($D$6:$D$9)-0.1)/0.2,1))/100)),C9="Yang",IF(SUM($D$6:$D$9)=0,0,IF(D9/SUM($D$6:$D$9)&lt;0.1,0,(1.8+(18-1.8)*MIN((D9/SUM($D$6:$D$9)-0.1)/0.2,1))/100)),C9="Kyubite",IF(SUM($D$6:$D$9)=0,0,IF(D9/SUM($D$6:$D$9)&lt;0.1,0,(1.8+(18-1.8)*MIN((D9/SUM($D$6:$D$9)-0.1)/0.2,1))/100)),C9="Yin-Yang",IF(SUM($D$6:$D$9)=0,0,IF(D9/SUM($D$6:$D$9)&lt;0.1,0,(2+(20-2)*MIN((D9/SUM($D$6:$D$9)-0.1)/0.2,1))/100)),C9="Galaxite",IF(SUM($D$6:$D$9)=0,0,IF(D9/SUM($D$6:$D$9)&lt;0.1,0,(2+(20-2)*MIN((D9/SUM($D$6:$D$9)-0.1)/0.2,1))/100)),TRUE,0)+C42</f>
        <v>0</v>
      </c>
      <c r="E46" s="145">
        <f>MIN(A29+C46,100%)</f>
        <v>0</v>
      </c>
      <c r="F46" s="121"/>
      <c r="G46" s="12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121"/>
      <c r="B47" s="128" t="s">
        <v>457</v>
      </c>
      <c r="C47" s="155">
        <f>IFS(C6="Yeti Heart",IF(SUM($D$6:$D$9)=0,0,IF(D6/SUM($D$6:$D$9)&lt;0.1,0,(1+(10-1)*MIN((D6/SUM($D$6:$D$9)-0.1)/0.2,1))/100)),C6="Tiger's Eye",IF(SUM($D$6:$D$9)=0,0,IF(D6/SUM($D$6:$D$9)&lt;0.1,0,(0.75+(7.5-0.75)*MIN((D6/SUM($D$6:$D$9)-0.1)/0.2,1))/100)),C6="Wolfarite",IF(SUM($D$6:$D$9)=0,0,IF(D6/SUM($D$6:$D$9)&lt;0.1,0,(0.8+(8-0.8)*MIN((D6/SUM($D$6:$D$9)-0.1)/0.2,1))/100)),TRUE,0)+IFS(C7="Yeti Heart",IF(SUM($D$6:$D$9)=0,0,IF(D7/SUM($D$6:$D$9)&lt;0.1,0,(1+(10-1)*MIN((D7/SUM($D$6:$D$9)-0.1)/0.2,1))/100)),C7="Tiger's Eye",IF(SUM($D$6:$D$9)=0,0,IF(D7/SUM($D$6:$D$9)&lt;0.1,0,(0.75+(7.5-0.75)*MIN((D7/SUM($D$6:$D$9)-0.1)/0.2,1))/100)),C7="Wolfarite",IF(SUM($D$6:$D$9)=0,0,IF(D7/SUM($D$6:$D$9)&lt;0.1,0,(0.8+(8-0.8)*MIN((D7/SUM($D$6:$D$9)-0.1)/0.2,1))/100)),TRUE,0)+IFS(C8="Yeti Heart",IF(SUM($D$6:$D$9)=0,0,IF(D8/SUM($D$6:$D$9)&lt;0.1,0,(1+(10-1)*MIN((D8/SUM($D$6:$D$9)-0.1)/0.2,1))/100)),C8="Tiger's Eye",IF(SUM($D$6:$D$9)=0,0,IF(D8/SUM($D$6:$D$9)&lt;0.1,0,(0.75+(7.5-0.75)*MIN((D8/SUM($D$6:$D$9)-0.1)/0.2,1))/100)),C8="Wolfarite",IF(SUM($D$6:$D$9)=0,0,IF(D8/SUM($D$6:$D$9)&lt;0.1,0,(0.8+(8-0.8)*MIN((D8/SUM($D$6:$D$9)-0.1)/0.2,1))/100)),TRUE,0)+IFS(C9="Yeti Heart",IF(SUM($D$6:$D$9)=0,0,IF(D9/SUM($D$6:$D$9)&lt;0.1,0,(1+(10-1)*MIN((D9/SUM($D$6:$D$9)-0.1)/0.2,1))/100)),C9="Tiger's Eye",IF(SUM($D$6:$D$9)=0,0,IF(D9/SUM($D$6:$D$9)&lt;0.1,0,(0.75+(7.5-0.75)*MIN((D9/SUM($D$6:$D$9)-0.1)/0.2,1))/100)),C9="Wolfarite",IF(SUM($D$6:$D$9)=0,0,IF(D9/SUM($D$6:$D$9)&lt;0.1,0,(0.8+(8-0.8)*MIN((D9/SUM($D$6:$D$9)-0.1)/0.2,1))/100)),TRUE,0)
</f>
        <v>0</v>
      </c>
      <c r="E47" s="156">
        <f>MIN(A31+C47+SWITCH(C22,"Shadow",10%,"Demon",20%,"Archangel",20%,0)+IFS(AND(C22="Goblin",C23="Dagger"),10%,AND(C22="Golem",C23="Colossal Sword"),15%,AND(C22="Golem",C23="Great Axe"),15%,AND(C22="Felynx",C23="Gauntlets"),20%,TRUE,0)+IF(ISNUMBER(SEARCH("Attack Speed",C80)),VALUE(MID(C80,FIND("+",C80)+1,LEN(C80)-FIND("+",C80)-1))/100,0),150%)</f>
        <v>0</v>
      </c>
      <c r="F47" s="121"/>
      <c r="G47" s="121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21"/>
      <c r="B48" s="121"/>
      <c r="F48" s="121"/>
      <c r="G48" s="121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121"/>
      <c r="B49" s="157" t="s">
        <v>479</v>
      </c>
      <c r="F49" s="121"/>
      <c r="G49" s="121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121"/>
      <c r="B50" s="34" t="s">
        <v>300</v>
      </c>
      <c r="C50" s="34" t="s">
        <v>301</v>
      </c>
      <c r="D50" s="34" t="s">
        <v>302</v>
      </c>
      <c r="E50" s="34" t="s">
        <v>303</v>
      </c>
      <c r="F50" s="158"/>
      <c r="G50" s="15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21"/>
      <c r="B51" s="159" t="s">
        <v>484</v>
      </c>
      <c r="C51" s="74"/>
      <c r="D51" s="74"/>
      <c r="E51" s="75"/>
      <c r="F51" s="121"/>
      <c r="G51" s="12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4.0" customHeight="1">
      <c r="A52" s="121"/>
      <c r="B52" s="128" t="s">
        <v>486</v>
      </c>
      <c r="C52" s="166">
        <f>IFS(C6="Moon Stone",IF(SUM($D$6:$D$9)=0,0,IF(D6/SUM($D$6:$D$9)&lt;0.1,0,(2.5+(25-2.5)*MIN((D6/SUM($D$6:$D$9)-0.1)/0.2,1))/100)),TRUE,0)+IFS(C7="Moon Stone",IF(SUM($D$6:$D$9)=0,0,IF(D7/SUM($D$6:$D$9)&lt;0.1,0,(2.5+(25-2.5)*MIN((D7/SUM($D$6:$D$9)-0.1)/0.2,1))/100)),TRUE,0)+IFS(C8="Moon Stone",IF(SUM($D$6:$D$9)=0,0,IF(D8/SUM($D$6:$D$9)&lt;0.1,0,(2.5+(25-2.5)*MIN((D8/SUM($D$6:$D$9)-0.1)/0.2,1))/100)),TRUE,0)+IFS(C9="Moon Stone",IF(SUM($D$6:$D$9)=0,0,IF(D9/SUM($D$6:$D$9)&lt;0.1,0,(2.5+(25-2.5)*MIN((D9/SUM($D$6:$D$9)-0.1)/0.2,1))/100)),TRUE,0)</f>
        <v>0</v>
      </c>
      <c r="D52" s="128" t="s">
        <v>307</v>
      </c>
      <c r="E52" s="78">
        <f>1+C52</f>
        <v>1</v>
      </c>
      <c r="F52" s="121"/>
      <c r="G52" s="12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2.5" customHeight="1">
      <c r="A53" s="121"/>
      <c r="B53" s="128" t="s">
        <v>492</v>
      </c>
      <c r="C53" s="169">
        <v>0.0</v>
      </c>
      <c r="D53" s="128" t="s">
        <v>181</v>
      </c>
      <c r="E53" s="170">
        <f>C53+IF(C22="Minotaur",30%,0)</f>
        <v>0</v>
      </c>
      <c r="F53" s="121"/>
      <c r="G53" s="12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1.0" customHeight="1">
      <c r="A54" s="121"/>
      <c r="B54" s="121"/>
      <c r="F54" s="121"/>
      <c r="G54" s="121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21"/>
      <c r="B55" s="34" t="s">
        <v>496</v>
      </c>
      <c r="F55" s="121"/>
      <c r="G55" s="121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1.0" customHeight="1">
      <c r="A56" s="121"/>
      <c r="B56" s="171"/>
      <c r="C56" s="172" t="s">
        <v>301</v>
      </c>
      <c r="D56" s="173" t="s">
        <v>207</v>
      </c>
      <c r="E56" s="174" t="s">
        <v>303</v>
      </c>
      <c r="F56" s="121"/>
      <c r="G56" s="12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21"/>
      <c r="B57" s="139" t="s">
        <v>500</v>
      </c>
      <c r="C57" s="176">
        <f>IFS(C6="Gargantuan",IF(SUM($D$6:$D$9)=0,0,IF(D6/SUM($D$6:$D$9)&lt;0.1,0,(5+(50-5)*MIN((D6/SUM($D$6:$D$9)-0.1)/0.2,1))/100)),C6="Magmaite",IF(SUM($D$6:$D$9)=0,0,IF(D6/SUM($D$6:$D$9)&lt;0.1,0,(3.5+(35-3.5)*MIN((D6/SUM($D$6:$D$9)-0.1)/0.2,1))/100)),C6="Meteorite",IF(SUM($D$6:$D$9)=0,0,IF(D6/SUM($D$6:$D$9)&lt;0.1,0,(6+(60-6)*MIN((D6/SUM($D$6:$D$9)-0.1)/0.2,1))/100)),C6="Supermassive Black Hole",IF(SUM($D$6:$D$9)=0,0,IF(D6/SUM($D$6:$D$9)&lt;0.1,0,(6.5+(65-6.5)*MIN((D6/SUM($D$6:$D$9)-0.1)/0.2,1))/100)),TRUE,0)+IFS(C7="Gargantuan",IF(SUM($D$6:$D$9)=0,0,IF(D7/SUM($D$6:$D$9)&lt;0.1,0,(5+(50-5)*MIN((D7/SUM($D$6:$D$9)-0.1)/0.2,1))/100)),C7="Magmaite",IF(SUM($D$6:$D$9)=0,0,IF(D7/SUM($D$6:$D$9)&lt;0.1,0,(3.5+(35-3.5)*MIN((D7/SUM($D$6:$D$9)-0.1)/0.2,1))/100)),C7="Meteorite",IF(SUM($D$6:$D$9)=0,0,IF(D7/SUM($D$6:$D$9)&lt;0.1,0,(6+(60-6)*MIN((D7/SUM($D$6:$D$9)-0.1)/0.2,1))/100)),C7="Supermassive Black Hole",IF(SUM($D$6:$D$9)=0,0,IF(D7/SUM($D$6:$D$9)&lt;0.1,0,(6.5+(65-6.5)*MIN((D7/SUM($D$6:$D$9)-0.1)/0.2,1))/100)),TRUE,0)+IFS(C8="Gargantuan",IF(SUM($D$6:$D$9)=0,0,IF(D8/SUM($D$6:$D$9)&lt;0.1,0,(5+(50-5)*MIN((D8/SUM($D$6:$D$9)-0.1)/0.2,1))/100)),C8="Magmaite",IF(SUM($D$6:$D$9)=0,0,IF(D8/SUM($D$6:$D$9)&lt;0.1,0,(3.5+(35-3.5)*MIN((D8/SUM($D$6:$D$9)-0.1)/0.2,1))/100)),C8="Meteorite",IF(SUM($D$6:$D$9)=0,0,IF(D8/SUM($D$6:$D$9)&lt;0.1,0,(6+(60-6)*MIN((D8/SUM($D$6:$D$9)-0.1)/0.2,1))/100)),C8="Supermassive Black Hole",IF(SUM($D$6:$D$9)=0,0,IF(D8/SUM($D$6:$D$9)&lt;0.1,0,(6.5+(65-6.5)*MIN((D8/SUM($D$6:$D$9)-0.1)/0.2,1))/100)),TRUE,0)+IFS(C9="Gargantuan",IF(SUM($D$6:$D$9)=0,0,IF(D9/SUM($D$6:$D$9)&lt;0.1,0,(5+(50-5)*MIN((D9/SUM($D$6:$D$9)-0.1)/0.2,1))/100)),C9="Magmaite",IF(SUM($D$6:$D$9)=0,0,IF(D9/SUM($D$6:$D$9)&lt;0.1,0,(3.5+(35-3.5)*MIN((D9/SUM($D$6:$D$9)-0.1)/0.2,1))/100)),C9="Meteorite",IF(SUM($D$6:$D$9)=0,0,IF(D9/SUM($D$6:$D$9)&lt;0.1,0,(6+(60-6)*MIN((D9/SUM($D$6:$D$9)-0.1)/0.2,1))/100)),C9="Supermassive Black Hole",IF(SUM($D$6:$D$9)=0,0,IF(D9/SUM($D$6:$D$9)&lt;0.1,0,(6.5+(65-6.5)*MIN((D9/SUM($D$6:$D$9)-0.1)/0.2,1))/100)),TRUE,0)+E34
</f>
        <v>0</v>
      </c>
      <c r="D57" s="139" t="s">
        <v>524</v>
      </c>
      <c r="E57" s="78">
        <f>A18*C57</f>
        <v>0</v>
      </c>
      <c r="F57" s="121"/>
      <c r="G57" s="12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20.25" customHeight="1">
      <c r="A58" s="121"/>
      <c r="B58" s="128" t="s">
        <v>528</v>
      </c>
      <c r="C58" s="176">
        <f>MAX(
  IFS(C6="Gargantuan", IF(SUM($D$6:$D$9)=0, 0, IF(D6/SUM($D$6:$D$9)&lt;0.1, 0, (3.5+(35-3.5)*MIN((D6/SUM($D$6:$D$9)-0.1)/0.2, 1))/100)), C6="Magmaite", IF(SUM($D$6:$D$9)=0, 0, IF(D6/SUM($D$6:$D$9)&lt;0.1, 0, (2+(20-2)*MIN((D6/SUM($D$6:$D$9)-0.1)/0.2, 1))/100)), C6="Meteorite", IF(SUM($D$6:$D$9)=0, 0, IF(D6/SUM($D$6:$D$9)&lt;0.1, 0, (2.5+(25-2.5)*MIN((D6/SUM($D$6:$D$9)-0.1)/0.2, 1))/100)), C6="Supermassive Black Hole", IF(SUM($D$6:$D$9)=0, 0, IF(D6/SUM($D$6:$D$9)&lt;0.1, 0, (4.5+(45-4.5)*MIN((D6/SUM($D$6:$D$9)-0.1)/0.2, 1))/100)), TRUE, 0),
  IFS(C7="Gargantuan", IF(SUM($D$6:$D$9)=0, 0, IF(D7/SUM($D$6:$D$9)&lt;0.1, 0, (3.5+(35-3.5)*MIN((D7/SUM($D$6:$D$9)-0.1)/0.2, 1))/100)), C7="Magmaite", IF(SUM($D$6:$D$9)=0, 0, IF(D7/SUM($D$6:$D$9)&lt;0.1, 0, (2+(20-2)*MIN((D7/SUM($D$6:$D$9)-0.1)/0.2, 1))/100)), C7="Meteorite", IF(SUM($D$6:$D$9)=0, 0, IF(D7/SUM($D$6:$D$9)&lt;0.1, 0, (2.5+(25-2.5)*MIN((D7/SUM($D$6:$D$9)-0.1)/0.2, 1))/100)), C7="Supermassive Black Hole", IF(SUM($D$6:$D$9)=0, 0, IF(D7/SUM($D$6:$D$9)&lt;0.1, 0, (4.5+(45-4.5)*MIN((D7/SUM($D$6:$D$9)-0.1)/0.2, 1))/100)), TRUE, 0),
  IFS(C8="Gargantuan", IF(SUM($D$6:$D$9)=0, 0, IF(D8/SUM($D$6:$D$9)&lt;0.1, 0, (3.5+(35-3.5)*MIN((D8/SUM($D$6:$D$9)-0.1)/0.2, 1))/100)), C8="Magmaite", IF(SUM($D$6:$D$9)=0, 0, IF(D8/SUM($D$6:$D$9)&lt;0.1, 0, (2+(20-2)*MIN((D8/SUM($D$6:$D$9)-0.1)/0.2, 1))/100)), C8="Meteorite", IF(SUM($D$6:$D$9)=0, 0, IF(D8/SUM($D$6:$D$9)&lt;0.1, 0, (2.5+(25-2.5)*MIN((D8/SUM($D$6:$D$9)-0.1)/0.2, 1))/100)), C8="Supermassive Black Hole", IF(SUM($D$6:$D$9)=0, 0, IF(D8/SUM($D$6:$D$9)&lt;0.1, 0, (4.5+(45-4.5)*MIN((D8/SUM($D$6:$D$9)-0.1)/0.2, 1))/100)), TRUE, 0),
  IFS(C9="Gargantuan", IF(SUM($D$6:$D$9)=0, 0, IF(D9/SUM($D$6:$D$9)&lt;0.1, 0, (3.5+(35-3.5)*MIN((D9/SUM($D$6:$D$9)-0.1)/0.2, 1))/100)), C9="Magmaite", IF(SUM($D$6:$D$9)=0, 0, IF(D9/SUM($D$6:$D$9)&lt;0.1, 0, (2+(20-2)*MIN((D9/SUM($D$6:$D$9)-0.1)/0.2, 1))/100)), C9="Meteorite", IF(SUM($D$6:$D$9)=0, 0, IF(D9/SUM($D$6:$D$9)&lt;0.1, 0, (2.5+(25-2.5)*MIN((D9/SUM($D$6:$D$9)-0.1)/0.2, 1))/100)), C9="Supermassive Black Hole", IF(SUM($D$6:$D$9)=0, 0, IF(D9/SUM($D$6:$D$9)&lt;0.1, 0, (4.5+(45-4.5)*MIN((D9/SUM($D$6:$D$9)-0.1)/0.2, 1))/100)), TRUE, 0),
  E35
)
</f>
        <v>0</v>
      </c>
      <c r="D58" s="128" t="s">
        <v>543</v>
      </c>
      <c r="E58" s="78">
        <f>A18*C57*C58*E21</f>
        <v>0</v>
      </c>
      <c r="F58" s="121"/>
      <c r="G58" s="12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21.0" customHeight="1">
      <c r="A59" s="121"/>
      <c r="B59" s="121"/>
      <c r="F59" s="121"/>
      <c r="G59" s="12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21"/>
      <c r="B60" s="178" t="s">
        <v>544</v>
      </c>
      <c r="F60" s="121"/>
      <c r="G60" s="12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1.0" customHeight="1">
      <c r="A61" s="121"/>
      <c r="B61" s="128" t="s">
        <v>545</v>
      </c>
      <c r="C61" s="176">
        <f>IFS(C6="Gargantuan",IF(SUM($D$6:$D$9)=0,0,IF(D6/SUM($D$6:$D$9)&lt;0.1,0,(2+(20-2)*MIN((D6/SUM($D$6:$D$9)-0.1)/0.2,1))/100)),C6="Sun Stone",IF(SUM($D$6:$D$9)=0,0,IF(D6/SUM($D$6:$D$9)&lt;0.1,0,(3.5+(35-3.5)*MIN((D6/SUM($D$6:$D$9)-0.1)/0.2,1))/100)),C6="Fireite",IF(SUM($D$6:$D$9)=0,0,IF(D6/SUM($D$6:$D$9)&lt;0.1,0,(2+(20-2)*MIN((D6/SUM($D$6:$D$9)-0.1)/0.2,1))/100)),C6="Kyubite",IF(SUM($D$6:$D$9)=0,0,IF(D6/SUM($D$6:$D$9)&lt;0.1,0,(4.5+(45-4.5)*MIN((D6/SUM($D$6:$D$9)-0.1)/0.2,1))/100)),C6="Supermassive Black Hole",IF(SUM($D$6:$D$9)=0,0,IF(D6/SUM($D$6:$D$9)&lt;0.1,0,(5+(50-5)*MIN((D6/SUM($D$6:$D$9)-0.1)/0.2,1))/100)),TRUE,0)+IFS(C7="Gargantuan",IF(SUM($D$6:$D$9)=0,0,IF(D7/SUM($D$6:$D$9)&lt;0.1,0,(2+(20-2)*MIN((D7/SUM($D$6:$D$9)-0.1)/0.2,1))/100)),C7="Sun Stone",IF(SUM($D$6:$D$9)=0,0,IF(D7/SUM($D$6:$D$9)&lt;0.1,0,(3.5+(35-3.5)*MIN((D7/SUM($D$6:$D$9)-0.1)/0.2,1))/100)),C7="Fireite",IF(SUM($D$6:$D$9)=0,0,IF(D7/SUM($D$6:$D$9)&lt;0.1,0,(2+(20-2)*MIN((D7/SUM($D$6:$D$9)-0.1)/0.2,1))/100)),C7="Kyubite",IF(SUM($D$6:$D$9)=0,0,IF(D7/SUM($D$6:$D$9)&lt;0.1,0,(4.5+(45-4.5)*MIN((D7/SUM($D$6:$D$9)-0.1)/0.2,1))/100)),C7="Supermassive Black Hole",IF(SUM($D$6:$D$9)=0,0,IF(D7/SUM($D$6:$D$9)&lt;0.1,0,(5+(50-5)*MIN((D7/SUM($D$6:$D$9)-0.1)/0.2,1))/100)),TRUE,0)+IFS(C8="Gargantuan",IF(SUM($D$6:$D$9)=0,0,IF(D8/SUM($D$6:$D$9)&lt;0.1,0,(2+(20-2)*MIN((D8/SUM($D$6:$D$9)-0.1)/0.2,1))/100)),C8="Sun Stone",IF(SUM($D$6:$D$9)=0,0,IF(D8/SUM($D$6:$D$9)&lt;0.1,0,(3.5+(35-3.5)*MIN((D8/SUM($D$6:$D$9)-0.1)/0.2,1))/100)),C8="Fireite",IF(SUM($D$6:$D$9)=0,0,IF(D8/SUM($D$6:$D$9)&lt;0.1,0,(2+(20-2)*MIN((D8/SUM($D$6:$D$9)-0.1)/0.2,1))/100)),C8="Kyubite",IF(SUM($D$6:$D$9)=0,0,IF(D8/SUM($D$6:$D$9)&lt;0.1,0,(4.5+(45-4.5)*MIN((D8/SUM($D$6:$D$9)-0.1)/0.2,1))/100)),C8="Supermassive Black Hole",IF(SUM($D$6:$D$9)=0,0,IF(D8/SUM($D$6:$D$9)&lt;0.1,0,(5+(50-5)*MIN((D8/SUM($D$6:$D$9)-0.1)/0.2,1))/100)),TRUE,0)+IFS(C9="Gargantuan",IF(SUM($D$6:$D$9)=0,0,IF(D9/SUM($D$6:$D$9)&lt;0.1,0,(2+(20-2)*MIN((D9/SUM($D$6:$D$9)-0.1)/0.2,1))/100)),C9="Sun Stone",IF(SUM($D$6:$D$9)=0,0,IF(D9/SUM($D$6:$D$9)&lt;0.1,0,(3.5+(35-3.5)*MIN((D9/SUM($D$6:$D$9)-0.1)/0.2,1))/100)),C9="Fireite",IF(SUM($D$6:$D$9)=0,0,IF(D9/SUM($D$6:$D$9)&lt;0.1,0,(2+(20-2)*MIN((D9/SUM($D$6:$D$9)-0.1)/0.2,1))/100)),C9="Kyubite",IF(SUM($D$6:$D$9)=0,0,IF(D9/SUM($D$6:$D$9)&lt;0.1,0,(4.5+(45-4.5)*MIN((D9/SUM($D$6:$D$9)-0.1)/0.2,1))/100)),C9="Supermassive Black Hole",IF(SUM($D$6:$D$9)=0,0,IF(D9/SUM($D$6:$D$9)&lt;0.1,0,(5+(50-5)*MIN((D9/SUM($D$6:$D$9)-0.1)/0.2,1))/100)),TRUE,0)+IF(C22="Dragonborn",30%,0)+C34
</f>
        <v>0</v>
      </c>
      <c r="D61" s="128" t="s">
        <v>546</v>
      </c>
      <c r="E61" s="78">
        <f>A18*C61</f>
        <v>0</v>
      </c>
      <c r="F61" s="179"/>
      <c r="G61" s="179" t="s">
        <v>547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21"/>
      <c r="B62" s="128" t="s">
        <v>548</v>
      </c>
      <c r="C62" s="176">
        <f>MAX(
IFS(C6="Gargantuan",IF(SUM($D$6:$D$9)=0,0,IF(D6/SUM($D$6:$D$9)&lt;0.1,0,(2+(20-2)*MIN((D6/SUM($D$6:$D$9)-0.1)/0.2,1))/100)),C6="Sun Stone",IF(SUM($D$6:$D$9)=0,0,IF(D6/SUM($D$6:$D$9)&lt;0.1,0,(3.5+(35-3.5)*MIN((D6/SUM($D$6:$D$9)-0.1)/0.2,1))/100)),C6="Fireite",IF(SUM($D$6:$D$9)=0,0,IF(D6/SUM($D$6:$D$9)&lt;0.1,0,(2+(20-2)*MIN((D6/SUM($D$6:$D$9)-0.1)/0.2,1))/100)),C6="Kyubite",IF(SUM($D$6:$D$9)=0,0,IF(D6/SUM($D$6:$D$9)&lt;0.1,0,(4.5+(45-4.5)*MIN((D6/SUM($D$6:$D$9)-0.1)/0.2,1))/100)),C6="Supermassive Black Hole",IF(SUM($D$6:$D$9)=0,0,IF(D6/SUM($D$6:$D$9)&lt;0.1,0,(4.5+(45-4.5)*MIN((D6/SUM($D$6:$D$9)-0.1)/0.2,1))/100)),TRUE,0),
IFS(C7="Gargantuan",IF(SUM($D$6:$D$9)=0,0,IF(D7/SUM($D$6:$D$9)&lt;0.1,0,(2+(20-2)*MIN((D7/SUM($D$6:$D$9)-0.1)/0.2,1))/100)),C7="Sun Stone",IF(SUM($D$6:$D$9)=0,0,IF(D7/SUM($D$6:$D$9)&lt;0.1,0,(3.5+(35-3.5)*MIN((D7/SUM($D$6:$D$9)-0.1)/0.2,1))/100)),C7="Fireite",IF(SUM($D$6:$D$9)=0,0,IF(D7/SUM($D$6:$D$9)&lt;0.1,0,(2+(20-2)*MIN((D7/SUM($D$6:$D$9)-0.1)/0.2,1))/100)),C7="Kyubite",IF(SUM($D$6:$D$9)=0,0,IF(D7/SUM($D$6:$D$9)&lt;0.1,0,(4.5+(45-4.5)*MIN((D7/SUM($D$6:$D$9)-0.1)/0.2,1))/100)),C7="Supermassive Black Hole",IF(SUM($D$6:$D$9)=0,0,IF(D7/SUM($D$6:$D$9)&lt;0.1,0,(4.5+(45-4.5)*MIN((D7/SUM($D$6:$D$9)-0.1)/0.2,1))/100)),TRUE,0),
IFS(C8="Gargantuan",IF(SUM($D$6:$D$9)=0,0,IF(D8/SUM($D$6:$D$9)&lt;0.1,0,(2+(20-2)*MIN((D8/SUM($D$6:$D$9)-0.1)/0.2,1))/100)),C8="Sun Stone",IF(SUM($D$6:$D$9)=0,0,IF(D8/SUM($D$6:$D$9)&lt;0.1,0,(3.5+(35-3.5)*MIN((D8/SUM($D$6:$D$9)-0.1)/0.2,1))/100)),C8="Fireite",IF(SUM($D$6:$D$9)=0,0,IF(D8/SUM($D$6:$D$9)&lt;0.1,0,(2+(20-2)*MIN((D8/SUM($D$6:$D$9)-0.1)/0.2,1))/100)),C8="Kyubite",IF(SUM($D$6:$D$9)=0,0,IF(D8/SUM($D$6:$D$9)&lt;0.1,0,(4.5+(45-4.5)*MIN((D8/SUM($D$6:$D$9)-0.1)/0.2,1))/100)),C8="Supermassive Black Hole",IF(SUM($D$6:$D$9)=0,0,IF(D8/SUM($D$6:$D$9)&lt;0.1,0,(4.5+(45-4.5)*MIN((D8/SUM($D$6:$D$9)-0.1)/0.2,1))/100)),TRUE,0),
IFS(C9="Gargantuan",IF(SUM($D$6:$D$9)=0,0,IF(D9/SUM($D$6:$D$9)&lt;0.1,0,(2+(20-2)*MIN((D9/SUM($D$6:$D$9)-0.1)/0.2,1))/100)),C9="Sun Stone",IF(SUM($D$6:$D$9)=0,0,IF(D9/SUM($D$6:$D$9)&lt;0.1,0,(3.5+(35-3.5)*MIN((D9/SUM($D$6:$D$9)-0.1)/0.2,1))/100)),C9="Fireite",IF(SUM($D$6:$D$9)=0,0,IF(D9/SUM($D$6:$D$9)&lt;0.1,0,(2+(20-2)*MIN((D9/SUM($D$6:$D$9)-0.1)/0.2,1))/100)),C9="Kyubite",IF(SUM($D$6:$D$9)=0,0,IF(D9/SUM($D$6:$D$9)&lt;0.1,0,(4.5+(45-4.5)*MIN((D9/SUM($D$6:$D$9)-0.1)/0.2,1))/100)),C9="Supermassive Black Hole",IF(SUM($D$6:$D$9)=0,0,IF(D9/SUM($D$6:$D$9)&lt;0.1,0,(4.5+(45-4.5)*MIN((D9/SUM($D$6:$D$9)-0.1)/0.2,1))/100)),TRUE,0),
C35
)+IF(C22="Dragonborn",0.4,0)
</f>
        <v>0</v>
      </c>
      <c r="D62" s="128" t="s">
        <v>549</v>
      </c>
      <c r="E62" s="78">
        <f>IF(E21=0,0,A18*C61*MIN(1,C62*E21*MIN(C63,5)))</f>
        <v>0</v>
      </c>
      <c r="F62" s="17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21"/>
      <c r="B63" s="128" t="s">
        <v>550</v>
      </c>
      <c r="C63" s="180">
        <f>SUM(IF(MAX(IFS(OR(C6="Gargantuan",C6="Fireite"),IF(SUM($D$6:$D$9)=0,0,IF(D6/SUM($D$6:$D$9)&lt;0.1,0,(0.2+(2-0.2)*MIN((D6/SUM($D$6:$D$9)-0.1)/0.2,1)))),OR(C6="Sun Stone",C6="Kyubite",C6="Supermassive Black Hole"),IF(SUM($D$6:$D$9)=0,0,IF(D6/SUM($D$6:$D$9)&lt;0.1,0,(0.5+(5-0.5)*MIN((D6/SUM($D$6:$D$9)-0.1)/0.2,1)))),TRUE,0),IFS(OR(C7="Gargantuan",C7="Fireite"),IF(SUM($D$6:$D$9)=0,0,IF(D7/SUM($D$6:$D$9)&lt;0.1,0,(0.2+(2-0.2)*MIN((D7/SUM($D$6:$D$9)-0.1)/0.2,1)))),OR(C7="Sun Stone",C7="Kyubite",C7="Supermassive Black Hole"),IF(SUM($D$6:$D$9)=0,0,IF(D7/SUM($D$6:$D$9)&lt;0.1,0,(0.5+(5-0.5)*MIN((D7/SUM($D$6:$D$9)-0.1)/0.2,1)))),TRUE,0),IFS(OR(C8="Gargantuan",C8="Fireite"),IF(SUM($D$6:$D$9)=0,0,IF(D8/SUM($D$6:$D$9)&lt;0.1,0,(0.2+(2-0.2)*MIN((D8/SUM($D$6:$D$9)-0.1)/0.2,1)))),OR(C8="Sun Stone",C8="Kyubite",C8="Supermassive Black Hole"),IF(SUM($D$6:$D$9)=0,0,IF(D8/SUM($D$6:$D$9)&lt;0.1,0,(0.5+(5-0.5)*MIN((D8/SUM($D$6:$D$9)-0.1)/0.2,1)))),TRUE,0),IFS(OR(C9="Gargantuan",C9="Fireite"),IF(SUM($D$6:$D$9)=0,0,IF(D9/SUM($D$6:$D$9)&lt;0.1,0,(0.2+(2-0.2)*MIN((D9/SUM($D$6:$D$9)-0.1)/0.2,1)))),OR(C9="Sun Stone",C9="Kyubite",C9="Supermassive Black Hole"),IF(SUM($D$6:$D$9)=0,0,IF(D9/SUM($D$6:$D$9)&lt;0.1,0,(0.5+(5-0.5)*MIN((D9/SUM($D$6:$D$9)-0.1)/0.2,1)))),TRUE,0),IF(C22="Dragonborn",3,0))=0,0,MAX(MAX(IFS(OR(C6="Gargantuan",C6="Fireite"),IF(SUM($D$6:$D$9)=0,0,IF(D6/SUM($D$6:$D$9)&lt;0.1,0,(0.2+(2-0.2)*MIN((D6/SUM($D$6:$D$9)-0.1)/0.2,1)))),OR(C6="Sun Stone",C6="Kyubite",C6="Supermassive Black Hole"),IF(SUM($D$6:$D$9)=0,0,IF(D6/SUM($D$6:$D$9)&lt;0.1,0,(0.5+(5-0.5)*MIN((D6/SUM($D$6:$D$9)-0.1)/0.2,1)))),TRUE,0),IFS(OR(C7="Gargantuan",C7="Fireite"),IF(SUM($D$6:$D$9)=0,0,IF(D7/SUM($D$6:$D$9)&lt;0.1,0,(0.2+(2-0.2)*MIN((D7/SUM($D$6:$D$9)-0.1)/0.2,1)))),OR(C7="Sun Stone",C7="Kyubite",C7="Supermassive Black Hole"),IF(SUM($D$6:$D$9)=0,0,IF(D7/SUM($D$6:$D$9)&lt;0.1,0,(0.5+(5-0.5)*MIN((D7/SUM($D$6:$D$9)-0.1)/0.2,1)))),TRUE,0),IFS(OR(C8="Gargantuan",C8="Fireite"),IF(SUM($D$6:$D$9)=0,0,IF(D8/SUM($D$6:$D$9)&lt;0.1,0,(0.2+(2-0.2)*MIN((D8/SUM($D$6:$D$9)-0.1)/0.2,1)))),OR(C8="Sun Stone",C8="Kyubite",C8="Supermassive Black Hole"),IF(SUM($D$6:$D$9)=0,0,IF(D8/SUM($D$6:$D$9)&lt;0.1,0,(0.5+(5-0.5)*MIN((D8/SUM($D$6:$D$9)-0.1)/0.2,1)))),TRUE,0),IFS(OR(C9="Gargantuan",C9="Fireite"),IF(SUM($D$6:$D$9)=0,0,IF(D9/SUM($D$6:$D$9)&lt;0.1,0,(0.2+(2-0.2)*MIN((D9/SUM($D$6:$D$9)-0.1)/0.2,1)))),OR(C9="Sun Stone",C9="Kyubite",C9="Supermassive Black Hole"),IF(SUM($D$6:$D$9)=0,0,IF(D9/SUM($D$6:$D$9)&lt;0.1,0,(0.5+(5-0.5)*MIN((D9/SUM($D$6:$D$9)-0.1)/0.2,1)))),TRUE,0),IF(C22="Dragonborn",3,0),C36)-1,0)))
</f>
        <v>0</v>
      </c>
      <c r="D63" s="128" t="s">
        <v>551</v>
      </c>
      <c r="E63" s="78">
        <f>MAX(A18*C61*(C63+1),0)</f>
        <v>0</v>
      </c>
      <c r="F63" s="17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1.0" customHeight="1">
      <c r="A64" s="121"/>
      <c r="B64" s="121"/>
      <c r="F64" s="121"/>
      <c r="G64" s="12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121"/>
      <c r="B65" s="34" t="s">
        <v>552</v>
      </c>
      <c r="F65" s="12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21"/>
      <c r="B66" s="128" t="s">
        <v>553</v>
      </c>
      <c r="C66" s="149">
        <f>IFS(C6="Malachite",IF(SUM($D$6:$D$9)=0,0,IF(D6/SUM($D$6:$D$9)&lt;0.1,0,(1+(10-1)*MIN((D6/SUM($D$6:$D$9)-0.1)/0.2,1))/100)),TRUE,0)+IFS(C7="Malachite",IF(SUM($D$6:$D$9)=0,0,IF(D7/SUM($D$6:$D$9)&lt;0.1,0,(1+(10-1)*MIN((D7/SUM($D$6:$D$9)-0.1)/0.2,1))/100)),TRUE,0)+IFS(C8="Malachite",IF(SUM($D$6:$D$9)=0,0,IF(D8/SUM($D$6:$D$9)&lt;0.1,0,(1+(10-1)*MIN((D8/SUM($D$6:$D$9)-0.1)/0.2,1))/100)),TRUE,0)+IFS(C9="Malachite",IF(SUM($D$6:$D$9)=0,0,IF(D9/SUM($D$6:$D$9)&lt;0.1,0,(1+(10-1)*MIN((D9/SUM($D$6:$D$9)-0.1)/0.2,1))/100)),TRUE,0)+D34</f>
        <v>0</v>
      </c>
      <c r="D66" s="128" t="s">
        <v>554</v>
      </c>
      <c r="E66" s="78">
        <f>A18*C66</f>
        <v>0</v>
      </c>
      <c r="F66" s="179"/>
      <c r="G66" s="179" t="s">
        <v>555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21"/>
      <c r="B67" s="128" t="s">
        <v>556</v>
      </c>
      <c r="C67" s="176">
        <f>MAX(MAX(IFS(C6="Malachite",IF(SUM($D$6:$D$9)=0,0,IF(D6/SUM($D$6:$D$9)&lt;0.1,0,(3.3+(33-3.3)*MIN((D6/SUM($D$6:$D$9)-0.1)/0.2,1))/100)),TRUE,0),IFS(C7="Malachite",IF(SUM($D$6:$D$9)=0,0,IF(D7/SUM($D$6:$D$9)&lt;0.1,0,(3.3+(33-3.3)*MIN((D7/SUM($D$6:$D$9)-0.1)/0.2,1))/100)),TRUE,0),IFS(C8="Malachite",IF(SUM($D$6:$D$9)=0,0,IF(D8/SUM($D$6:$D$9)&lt;0.1,0,(3.3+(33-3.3)*MIN((D8/SUM($D$6:$D$9)-0.1)/0.2,1))/100)),TRUE,0),IFS(C9="Malachite",IF(SUM($D$6:$D$9)=0,0,IF(D9/SUM($D$6:$D$9)&lt;0.1,0,(3.3+(33-3.3)*MIN((D9/SUM($D$6:$D$9)-0.1)/0.2,1))/100)),TRUE,0)),D35)</f>
        <v>0</v>
      </c>
      <c r="D67" s="128" t="s">
        <v>557</v>
      </c>
      <c r="E67" s="78">
        <f>IF(E21=0,0,A18*C66*MIN(1,C67*E21*MIN(C68,5)))</f>
        <v>0</v>
      </c>
      <c r="F67" s="17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121"/>
      <c r="B68" s="128" t="s">
        <v>558</v>
      </c>
      <c r="C68" s="180">
        <f>IF(MAX(IFS(C6="Malachite",IF(SUM($D$6:$D$9)=0,0,IF(D6/SUM($D$6:$D$9)&lt;0.1,0,(0.3+(3-0.3)*MIN((D6/SUM($D$6:$D$9)-0.1)/0.2,1)))),TRUE,0),IFS(C7="Malachite",IF(SUM($D$6:$D$9)=0,0,IF(D7/SUM($D$6:$D$9)&lt;0.1,0,(0.3+(3-0.3)*MIN((D7/SUM($D$6:$D$9)-0.1)/0.2,1)))),TRUE,0),IFS(C8="Malachite",IF(SUM($D$6:$D$9)=0,0,IF(D8/SUM($D$6:$D$9)&lt;0.1,0,(0.3+(3-0.3)*MIN((D8/SUM($D$6:$D$9)-0.1)/0.2,1)))),TRUE,0),IFS(C9="Malachite",IF(SUM($D$6:$D$9)=0,0,IF(D9/SUM($D$6:$D$9)&lt;0.1,0,(0.3+(3-0.3)*MIN((D9/SUM($D$6:$D$9)-0.1)/0.2,1)))),TRUE,0))=0,0,MAX(MAX(IFS(C6="Malachite",IF(SUM($D$6:$D$9)=0,0,IF(D6/SUM($D$6:$D$9)&lt;0.1,0,(0.3+(3-0.3)*MIN((D6/SUM($D$6:$D$9)-0.1)/0.2,1)))),TRUE,0),IFS(C7="Malachite",IF(SUM($D$6:$D$9)=0,0,IF(D7/SUM($D$6:$D$9)&lt;0.1,0,(0.3+(3-0.3)*MIN((D7/SUM($D$6:$D$9)-0.1)/0.2,1)))),TRUE,0),IFS(C8="Malachite",IF(SUM($D$6:$D$9)=0,0,IF(D8/SUM($D$6:$D$9)&lt;0.1,0,(0.3+(3-0.3)*MIN((D8/SUM($D$6:$D$9)-0.1)/0.2,1)))),TRUE,0),IFS(C9="Malachite",IF(SUM($D$6:$D$9)=0,0,IF(D9/SUM($D$6:$D$9)&lt;0.1,0,(0.3+(3-0.3)*MIN((D9/SUM($D$6:$D$9)-0.1)/0.2,1)))),TRUE,0),D36)-2,0))</f>
        <v>0</v>
      </c>
      <c r="D68" s="128" t="s">
        <v>559</v>
      </c>
      <c r="E68" s="78">
        <f>MAX(A18*C66*(C68+1),0)</f>
        <v>0</v>
      </c>
      <c r="F68" s="17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21.0" customHeight="1">
      <c r="A69" s="121"/>
      <c r="B69" s="121"/>
      <c r="F69" s="121"/>
      <c r="G69" s="12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21.0" customHeight="1">
      <c r="A70" s="121"/>
      <c r="B70" s="34" t="s">
        <v>560</v>
      </c>
      <c r="F70" s="12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21"/>
      <c r="B71" s="128" t="s">
        <v>561</v>
      </c>
      <c r="C71" s="149">
        <f>IFS(C6="Heavenite",IF(SUM($D$6:$D$9)=0,0,IF(D6/SUM($D$6:$D$9)&lt;0.1,0,(2.5+(25-2.5)*MIN((D6/SUM($D$6:$D$9)-0.1)/0.2,1))/100)),TRUE,0)+IFS(C7="Heavenite",IF(SUM($D$6:$D$9)=0,0,IF(D7/SUM($D$6:$D$9)&lt;0.1,0,(2.5+(25-2.5)*MIN((D7/SUM($D$6:$D$9)-0.1)/0.2,1))/100)),TRUE,0)+IFS(C8="Heavenite",IF(SUM($D$6:$D$9)=0,0,IF(D8/SUM($D$6:$D$9)&lt;0.1,0,(2.5+(25-2.5)*MIN((D8/SUM($D$6:$D$9)-0.1)/0.2,1))/100)),TRUE,0)+IFS(C9="Heavenite",IF(SUM($D$6:$D$9)=0,0,IF(D9/SUM($D$6:$D$9)&lt;0.1,0,(2.5+(25-2.5)*MIN((D9/SUM($D$6:$D$9)-0.1)/0.2,1))/100)),TRUE,0)+IF(C22="Angel",30%,0)+IF(C22="Archangel",150%,0)</f>
        <v>0</v>
      </c>
      <c r="D71" s="128" t="s">
        <v>562</v>
      </c>
      <c r="E71" s="78">
        <f>A18*C71</f>
        <v>0</v>
      </c>
      <c r="F71" s="12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21"/>
      <c r="B72" s="128" t="s">
        <v>563</v>
      </c>
      <c r="C72" s="149">
        <f>MAX(IFS(C6="Heavenite",IF(SUM($D$6:$D$9)=0,0,IF(D6/SUM($D$6:$D$9)&lt;0.1,0,(4+(40-4)*MIN((D6/SUM($D$6:$D$9)-0.1)/0.2,1))/100)),TRUE,0),IFS(C7="Heavenite",IF(SUM($D$6:$D$9)=0,0,IF(D7/SUM($D$6:$D$9)&lt;0.1,0,(4+(40-4)*MIN((D7/SUM($D$6:$D$9)-0.1)/0.2,1))/100)),TRUE,0),IFS(C8="Heavenite",IF(SUM($D$6:$D$9)=0,0,IF(D8/SUM($D$6:$D$9)&lt;0.1,0,(4+(40-4)*MIN((D8/SUM($D$6:$D$9)-0.1)/0.2,1))/100)),TRUE,0),IFS(C9="Heavenite",IF(SUM($D$6:$D$9)=0,0,IF(D9/SUM($D$6:$D$9)&lt;0.1,0,(4+(40-4)*MIN((D9/SUM($D$6:$D$9)-0.1)/0.2,1))/100)),TRUE,0),IF(C22="Angel",50%,0)+IF(C22="Archangel",33%,0))</f>
        <v>0</v>
      </c>
      <c r="D72" s="128" t="s">
        <v>564</v>
      </c>
      <c r="E72" s="78">
        <f>A18*E21*C71*MIN(C72,1)</f>
        <v>0</v>
      </c>
      <c r="F72" s="12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21"/>
      <c r="B73" s="121"/>
      <c r="F73" s="12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181"/>
      <c r="B74" s="182" t="s">
        <v>565</v>
      </c>
      <c r="F74" s="18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5.5" customHeight="1">
      <c r="A75" s="181"/>
      <c r="B75" s="139" t="s">
        <v>566</v>
      </c>
      <c r="C75" s="149">
        <f>IFS(C6="Galaxite",IF(SUM($D$6:$D$9)=0,0,IF(D6/SUM($D$6:$D$9)&lt;0.1,0,(6+(60-6)*MIN((D6/SUM($D$6:$D$9)-0.1)/0.2,1))/100)),TRUE,0)+IFS(C7="Galaxite",IF(SUM($D$6:$D$9)=0,0,IF(D7/SUM($D$6:$D$9)&lt;0.1,0,(6+(60-6)*MIN((D7/SUM($D$6:$D$9)-0.1)/0.2,1))/100)),TRUE,0)+IFS(C8="Galaxite",IF(SUM($D$6:$D$9)=0,0,IF(D8/SUM($D$6:$D$9)&lt;0.1,0,(6+(60-6)*MIN((D8/SUM($D$6:$D$9)-0.1)/0.2,1))/100)),TRUE,0)+IFS(C9="Galaxite",IF(SUM($D$6:$D$9)=0,0,IF(D9/SUM($D$6:$D$9)&lt;0.1,0,(6+(60-6)*MIN((D9/SUM($D$6:$D$9)-0.1)/0.2,1))/100)),TRUE,0)
 </f>
        <v>0</v>
      </c>
      <c r="D75" s="139" t="s">
        <v>567</v>
      </c>
      <c r="E75" s="78">
        <f>A18*C75</f>
        <v>0</v>
      </c>
      <c r="F75" s="18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21"/>
      <c r="B76" s="139" t="s">
        <v>568</v>
      </c>
      <c r="C76" s="176">
        <f>IF(COUNTIF(C6:C9, "Galaxite")/COUNTA(C6:C9)&gt;=0.1, 0.3, 0)
</f>
        <v>0</v>
      </c>
      <c r="D76" s="139" t="s">
        <v>569</v>
      </c>
      <c r="E76" s="78">
        <f>A18*C75*C76*E21</f>
        <v>0</v>
      </c>
      <c r="F76" s="12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121"/>
      <c r="B77" s="121"/>
      <c r="C77" s="121"/>
      <c r="D77" s="121"/>
      <c r="E77" s="121"/>
      <c r="F77" s="12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21.0" customHeight="1">
      <c r="A78" s="121"/>
      <c r="B78" s="183" t="s">
        <v>570</v>
      </c>
      <c r="C78" s="184"/>
      <c r="D78" s="184"/>
      <c r="E78" s="185"/>
      <c r="F78" s="12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21"/>
      <c r="B79" s="183" t="s">
        <v>300</v>
      </c>
      <c r="C79" s="186" t="s">
        <v>301</v>
      </c>
      <c r="D79" s="187" t="s">
        <v>207</v>
      </c>
      <c r="E79" s="188" t="s">
        <v>206</v>
      </c>
      <c r="F79" s="12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23.25" customHeight="1">
      <c r="A80" s="121"/>
      <c r="B80" s="128" t="s">
        <v>571</v>
      </c>
      <c r="C80" s="189" t="s">
        <v>0</v>
      </c>
      <c r="D80" s="128" t="s">
        <v>572</v>
      </c>
      <c r="E80" s="81" t="str">
        <f>IFS(ISNUMBER(SEARCH("Attack Speed",C80)),"Total AS: "&amp;TEXT(E47,"0%"),ISNUMBER(SEARCH("Crit Chance",C80)),"Total CC: "&amp;TEXT(E45,"0%"),ISNUMBER(SEARCH("Damage Boost",C80)),"Total Lethality: "&amp;TEXT(E44,"0%"),TRUE,"No bonus selected")</f>
        <v>No bonus selected</v>
      </c>
      <c r="F80" s="12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21"/>
      <c r="B81" s="121"/>
      <c r="C81" s="121"/>
      <c r="D81" s="121"/>
      <c r="E81" s="121"/>
      <c r="F81" s="12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24.75" customHeight="1">
      <c r="A82" s="121"/>
      <c r="B82" s="33" t="s">
        <v>573</v>
      </c>
      <c r="F82" s="12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21.0" customHeight="1">
      <c r="A83" s="121"/>
      <c r="B83" s="34" t="s">
        <v>574</v>
      </c>
      <c r="C83" s="34" t="s">
        <v>575</v>
      </c>
      <c r="D83" s="34" t="s">
        <v>576</v>
      </c>
      <c r="E83" s="34" t="s">
        <v>206</v>
      </c>
      <c r="F83" s="12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21"/>
      <c r="B84" s="128" t="s">
        <v>577</v>
      </c>
      <c r="C84" s="78">
        <f>C18*(1+E44)*(MIN(C20+E45,1)*(C21+E46)+(1-MIN(C20+E45,1)))*E21</f>
        <v>180.9113924</v>
      </c>
      <c r="D84" s="128" t="s">
        <v>578</v>
      </c>
      <c r="E84" s="81">
        <f>E19*E21</f>
        <v>180.9113924</v>
      </c>
      <c r="F84" s="12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21"/>
      <c r="B85" s="128" t="s">
        <v>543</v>
      </c>
      <c r="C85" s="190">
        <f>E58</f>
        <v>0</v>
      </c>
      <c r="D85" s="128" t="s">
        <v>579</v>
      </c>
      <c r="E85" s="191" t="str">
        <f>C18&amp;" × "&amp;TEXT(C57,"0%")&amp;" × "&amp;TEXT(C58,"0%")&amp;" × "&amp;TEXT(E21,"0.000")</f>
        <v>142.92 × 0% × 0% × 1.266</v>
      </c>
      <c r="F85" s="12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1.0" customHeight="1">
      <c r="A86" s="121"/>
      <c r="B86" s="128" t="s">
        <v>580</v>
      </c>
      <c r="C86" s="190">
        <f>E62</f>
        <v>0</v>
      </c>
      <c r="D86" s="128" t="s">
        <v>581</v>
      </c>
      <c r="E86" s="191" t="str">
        <f>C18&amp;" × "&amp;TEXT(C61,"0%")</f>
        <v>142.92 × 0%</v>
      </c>
      <c r="F86" s="12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21.0" customHeight="1">
      <c r="A87" s="121"/>
      <c r="B87" s="128" t="s">
        <v>582</v>
      </c>
      <c r="C87" s="192">
        <f>E67</f>
        <v>0</v>
      </c>
      <c r="D87" s="128" t="s">
        <v>581</v>
      </c>
      <c r="E87" s="191" t="str">
        <f>C18&amp;" × "&amp;TEXT(C66,"0%")</f>
        <v>142.92 × 0%</v>
      </c>
      <c r="F87" s="12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21"/>
      <c r="B88" s="128" t="s">
        <v>583</v>
      </c>
      <c r="C88" s="190">
        <f>E72</f>
        <v>0</v>
      </c>
      <c r="D88" s="128" t="s">
        <v>584</v>
      </c>
      <c r="E88" s="191" t="str">
        <f>C18&amp;" × "&amp;TEXT(C71,"0%")&amp;" × "&amp;TEXT(C72,"0%")&amp;" × "&amp;TEXT(E21,"0.000")</f>
        <v>142.92 × 0% × 0% × 1.266</v>
      </c>
      <c r="F88" s="12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21.0" customHeight="1">
      <c r="A89" s="121"/>
      <c r="B89" s="139" t="s">
        <v>569</v>
      </c>
      <c r="C89" s="193">
        <f>E76</f>
        <v>0</v>
      </c>
      <c r="D89" s="121"/>
      <c r="E89" s="121"/>
      <c r="F89" s="12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181"/>
      <c r="B90" s="181"/>
      <c r="F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</row>
    <row r="91" ht="21.0" customHeight="1">
      <c r="A91" s="121"/>
      <c r="B91" s="194" t="s">
        <v>585</v>
      </c>
      <c r="C91" s="78">
        <f>C84+C85+C86+C87+C88+C89</f>
        <v>180.9113924</v>
      </c>
      <c r="D91" s="128" t="s">
        <v>586</v>
      </c>
      <c r="E91" s="195">
        <f>IF(C91&gt;0,25000/C91,"∞")</f>
        <v>138.1891968</v>
      </c>
      <c r="F91" s="12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4.75" customHeight="1">
      <c r="A92" s="121"/>
      <c r="B92" s="194" t="s">
        <v>587</v>
      </c>
      <c r="C92" s="81" t="str">
        <f>IF(E53=0,"N/A",(C85+C86+C87+C88+C89+C18*(1+MIN(E44+E53,150%))*(MIN(C20+E45,1)*(C21+E46)+(1-MIN(C20+E45,1)))*E21))</f>
        <v>N/A</v>
      </c>
      <c r="D92" s="139" t="s">
        <v>588</v>
      </c>
      <c r="E92" s="195">
        <f>IF(C91&gt;0,75000/C91,"∞")</f>
        <v>414.5675903</v>
      </c>
      <c r="F92" s="12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21.0" customHeight="1">
      <c r="A93" s="121"/>
      <c r="B93" s="194" t="s">
        <v>589</v>
      </c>
      <c r="C93" s="81" t="str">
        <f>IF(C52=0,"N/A",(C18*(1+E44)*(MIN(C20+E45,1)*(C21+E46)+(1-MIN(C20+E45,1)))*E21)*E52)</f>
        <v>N/A</v>
      </c>
      <c r="D93" s="121"/>
      <c r="F93" s="12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21.0" customHeight="1">
      <c r="A94" s="121"/>
      <c r="B94" s="121"/>
      <c r="F94" s="12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21.0" customHeight="1">
      <c r="A95" s="121"/>
      <c r="B95" s="128" t="s">
        <v>590</v>
      </c>
      <c r="C95" s="196">
        <f>C18*(1+E44)*E21</f>
        <v>180.9113924</v>
      </c>
      <c r="F95" s="12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21.0" customHeight="1">
      <c r="A96" s="121"/>
      <c r="B96" s="128" t="s">
        <v>591</v>
      </c>
      <c r="C96" s="196">
        <f>C18*(1+E44)*(C21+E46)*E21+C18*C57*E21+C18*C61+C18*C66+C71*C18+C75*C18</f>
        <v>262.321519</v>
      </c>
      <c r="F96" s="12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21.0" customHeight="1">
      <c r="A97" s="121"/>
      <c r="B97" s="121"/>
      <c r="F97" s="12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21.0" customHeight="1">
      <c r="A98" s="121"/>
      <c r="F98" s="12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121"/>
      <c r="B99" s="197" t="s">
        <v>592</v>
      </c>
      <c r="F99" s="12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121"/>
      <c r="B100" s="198" t="s">
        <v>593</v>
      </c>
      <c r="F100" s="12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181"/>
      <c r="B101" s="181"/>
      <c r="F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21.0" customHeight="1">
      <c r="A103" s="199"/>
      <c r="B103" s="200"/>
      <c r="F103" s="199"/>
      <c r="G103" s="19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21.0" customHeight="1">
      <c r="A104" s="199"/>
      <c r="B104" s="201"/>
      <c r="F104" s="199"/>
      <c r="G104" s="19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199"/>
      <c r="F105" s="199"/>
      <c r="G105" s="19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199"/>
      <c r="F106" s="199"/>
      <c r="G106" s="19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199"/>
      <c r="F107" s="199"/>
      <c r="G107" s="19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19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19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19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19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19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19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19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19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19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19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19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19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19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19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19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19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19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19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19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19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19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19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19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19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19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19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19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19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19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19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19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19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19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19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19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19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19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19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19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19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19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19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19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19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19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19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19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19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19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19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19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19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19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19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19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19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19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19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19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19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19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19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19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19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19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19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19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19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19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19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19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19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19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19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19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19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19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19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19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19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19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19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19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19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19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19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19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19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19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19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19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19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19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19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19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19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19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19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19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19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19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19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19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19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19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19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19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19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19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19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19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19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19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19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19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19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19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19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19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19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19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19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19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19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19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19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19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19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19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19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19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19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19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19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19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19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19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19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19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19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19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19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19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19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19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19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19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19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19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19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19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19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19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19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19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19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19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19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19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19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19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19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19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19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19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19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19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19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19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19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19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19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19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19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19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19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19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19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19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19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19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19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19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19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19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19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19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19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19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19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19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19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19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19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19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19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19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19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19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19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19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19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19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19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19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19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19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19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19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19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19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19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19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19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19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19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19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19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19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19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19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19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19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19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19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19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19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19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19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19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19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19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19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19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19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19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19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19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19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19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19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19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19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19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19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19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19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19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19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19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19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19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19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19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19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19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19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19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19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19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19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19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19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19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19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19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19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19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19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19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19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19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19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19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19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19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19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19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19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19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19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19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19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19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19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19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19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19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19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19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19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19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19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19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19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19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19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19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19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19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19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19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19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19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19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19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19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19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19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19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19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19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19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19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19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19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19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19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19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19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19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19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19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19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19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19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19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19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19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19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19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19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19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19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19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19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19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19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19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19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19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19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19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19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19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19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19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19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19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19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19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19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19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19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19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19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19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19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19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19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19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19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19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19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19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19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19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19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19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19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19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19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19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19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19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19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19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19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19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19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19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19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19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19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19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19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19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19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19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19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19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19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19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19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19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19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19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19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19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19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19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19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19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19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19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19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19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19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19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19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19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19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19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19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19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19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19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19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19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19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19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19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19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19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19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19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19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19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19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19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19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19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19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19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19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19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19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19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19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19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19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19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19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19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19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19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19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19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19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19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19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19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19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19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19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19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19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19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19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19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19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19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19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19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19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19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19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19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19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19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19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19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19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19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19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19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19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19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19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19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19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19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19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19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19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19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19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19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19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19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19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19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19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19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19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19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19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19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19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19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19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19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19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19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19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19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19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19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19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19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19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19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19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19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19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19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19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19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19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19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19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19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19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19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19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19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19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19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19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19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19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19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19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19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19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19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19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19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19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19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19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19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19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19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19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19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19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19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19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19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19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19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19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19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19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19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19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19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19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19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19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19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19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19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19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19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19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19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19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19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19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19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19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19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19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19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19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19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19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19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19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19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19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19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19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19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19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19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19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19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19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19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19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19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19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19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19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19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19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19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19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19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19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19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19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19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19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19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19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19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19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19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19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19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19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19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19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19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19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19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19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19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19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19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19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19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19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19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19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19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19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19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19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19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19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19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19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19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19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19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19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19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19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19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19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19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19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19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19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19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19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19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19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19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19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19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19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19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19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19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19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19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19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19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19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19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19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19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19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19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19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19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19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19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19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19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19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19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19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19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19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19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19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19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19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19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19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19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19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19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19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19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19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19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19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19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19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19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19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19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19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19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19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19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19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19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19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19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19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19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19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19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19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19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19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19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19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19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19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19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19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19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19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19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19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19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19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19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19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19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19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19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19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19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19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19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19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19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19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19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19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19"/>
    </row>
  </sheetData>
  <mergeCells count="45">
    <mergeCell ref="B90:E90"/>
    <mergeCell ref="D93:E96"/>
    <mergeCell ref="B94:C94"/>
    <mergeCell ref="B97:E98"/>
    <mergeCell ref="B99:E99"/>
    <mergeCell ref="B100:E100"/>
    <mergeCell ref="B101:E101"/>
    <mergeCell ref="B103:E103"/>
    <mergeCell ref="B104:E107"/>
    <mergeCell ref="B60:E60"/>
    <mergeCell ref="G61:G63"/>
    <mergeCell ref="B64:E64"/>
    <mergeCell ref="G64:G65"/>
    <mergeCell ref="B65:E65"/>
    <mergeCell ref="G66:G68"/>
    <mergeCell ref="G69:G101"/>
    <mergeCell ref="A4:A17"/>
    <mergeCell ref="A19:A26"/>
    <mergeCell ref="A1:G1"/>
    <mergeCell ref="A2:G2"/>
    <mergeCell ref="A3:F3"/>
    <mergeCell ref="B4:E4"/>
    <mergeCell ref="C14:E14"/>
    <mergeCell ref="B15:E15"/>
    <mergeCell ref="B16:E16"/>
    <mergeCell ref="B24:E24"/>
    <mergeCell ref="B25:E25"/>
    <mergeCell ref="G27:G30"/>
    <mergeCell ref="C30:D30"/>
    <mergeCell ref="B32:E32"/>
    <mergeCell ref="B38:E38"/>
    <mergeCell ref="B40:E40"/>
    <mergeCell ref="D41:D47"/>
    <mergeCell ref="B48:E48"/>
    <mergeCell ref="B49:E49"/>
    <mergeCell ref="B51:E51"/>
    <mergeCell ref="B54:E54"/>
    <mergeCell ref="B55:E55"/>
    <mergeCell ref="B59:E59"/>
    <mergeCell ref="B69:E69"/>
    <mergeCell ref="B70:E70"/>
    <mergeCell ref="B73:E73"/>
    <mergeCell ref="B74:E74"/>
    <mergeCell ref="B78:E78"/>
    <mergeCell ref="B82:E82"/>
  </mergeCells>
  <dataValidations>
    <dataValidation type="list" allowBlank="1" sqref="C12">
      <formula1>"Dagger,Straight Sword,Mace,Gauntlet,Axe,Katana,Great Sword,Spear,Great Axe,Colossal Sword"</formula1>
    </dataValidation>
    <dataValidation type="list" allowBlank="1" sqref="C22">
      <formula1>'_Options'!$B$1:$B$16</formula1>
    </dataValidation>
    <dataValidation type="list" allowBlank="1" sqref="C6:C9">
      <formula1>'_OptionsCrafter'!$A$55:$A$195</formula1>
    </dataValidation>
    <dataValidation type="list" allowBlank="1" sqref="C80">
      <formula1>"None,Attack Speed +4%,Attack Speed +8%,Attack Speed +12%,Attack Speed +16%,Attack Speed +20%,Crit Chance +7%,Crit Chance +14%,Crit Chance +21%,Crit Chance +28%,Crit Chance +35%,Damage Boost +4%,Damage Boost +8%,Damage Boost +12%,Damage Boost +16%,Damage B"&amp;"oost +20%"</formula1>
    </dataValidation>
    <dataValidation type="list" allowBlank="1" sqref="D12">
      <formula1>'IGNORE REF CALC'!$L$2:$L$13</formula1>
    </dataValidation>
    <dataValidation type="list" allowBlank="1" sqref="C23">
      <formula1>"Dagger,Straight Sword,Gauntlets,Great Axe,Colossal Sword"</formula1>
    </dataValidation>
    <dataValidation type="decimal" allowBlank="1" showInputMessage="1" showErrorMessage="1" prompt="Invalid - Enter 0 to 100" sqref="E12">
      <formula1>0.0</formula1>
      <formula2>100.0</formula2>
    </dataValidation>
    <dataValidation type="list" allowBlank="1" sqref="C13">
      <formula1>"0,1,2,3,4,5,6,7,8,9"</formula1>
    </dataValidation>
    <dataValidation type="list" allowBlank="1" sqref="C27:D29">
      <formula1>'_Options'!$A$1:$A$48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1"/>
      <c r="B1" s="3" t="s">
        <v>1</v>
      </c>
      <c r="C1" s="3" t="s">
        <v>4</v>
      </c>
      <c r="D1" s="3" t="s">
        <v>6</v>
      </c>
      <c r="E1" s="3" t="s">
        <v>7</v>
      </c>
      <c r="F1" s="1"/>
      <c r="G1" s="1"/>
      <c r="H1" s="9" t="s">
        <v>9</v>
      </c>
      <c r="I1" s="11" t="s">
        <v>10</v>
      </c>
      <c r="J1" s="11" t="s">
        <v>13</v>
      </c>
      <c r="K1" s="11" t="s">
        <v>15</v>
      </c>
      <c r="L1" s="11" t="s">
        <v>17</v>
      </c>
      <c r="M1" s="11" t="s">
        <v>18</v>
      </c>
      <c r="N1" s="11" t="s">
        <v>20</v>
      </c>
      <c r="O1" s="11" t="s">
        <v>22</v>
      </c>
      <c r="P1" s="11" t="s">
        <v>24</v>
      </c>
      <c r="Q1" s="11" t="s">
        <v>26</v>
      </c>
      <c r="R1" s="1"/>
      <c r="S1" s="1"/>
      <c r="T1" s="1"/>
      <c r="U1" s="1"/>
      <c r="V1" s="1"/>
      <c r="W1" s="1"/>
      <c r="X1" s="1"/>
      <c r="Y1" s="1"/>
      <c r="Z1" s="1"/>
      <c r="AA1" s="1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ht="15.75" customHeight="1">
      <c r="A2" s="1"/>
      <c r="B2" s="20" t="s">
        <v>9</v>
      </c>
      <c r="C2" s="20" t="s">
        <v>9</v>
      </c>
      <c r="D2" s="23">
        <v>0.47</v>
      </c>
      <c r="E2" s="23">
        <v>4.3</v>
      </c>
      <c r="F2" s="1"/>
      <c r="G2" s="1"/>
      <c r="H2" s="9" t="s">
        <v>9</v>
      </c>
      <c r="I2" s="11" t="s">
        <v>40</v>
      </c>
      <c r="J2" s="11" t="s">
        <v>13</v>
      </c>
      <c r="K2" s="11" t="s">
        <v>44</v>
      </c>
      <c r="L2" s="11" t="s">
        <v>17</v>
      </c>
      <c r="M2" s="11" t="s">
        <v>47</v>
      </c>
      <c r="N2" s="11" t="s">
        <v>49</v>
      </c>
      <c r="O2" s="11" t="s">
        <v>22</v>
      </c>
      <c r="P2" s="11" t="s">
        <v>53</v>
      </c>
      <c r="Q2" s="11" t="s">
        <v>20</v>
      </c>
      <c r="R2" s="1"/>
      <c r="S2" s="1"/>
      <c r="T2" s="1"/>
      <c r="U2" s="1"/>
      <c r="V2" s="1"/>
      <c r="W2" s="1"/>
      <c r="X2" s="1"/>
      <c r="Y2" s="1"/>
      <c r="Z2" s="1"/>
      <c r="AA2" s="1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ht="15.75" customHeight="1">
      <c r="A3" s="1"/>
      <c r="B3" s="20" t="s">
        <v>9</v>
      </c>
      <c r="C3" s="20" t="s">
        <v>39</v>
      </c>
      <c r="D3" s="23">
        <v>0.47</v>
      </c>
      <c r="E3" s="23">
        <v>4.3</v>
      </c>
      <c r="F3" s="1"/>
      <c r="G3" s="1"/>
      <c r="H3" s="9" t="s">
        <v>39</v>
      </c>
      <c r="I3" s="11" t="s">
        <v>58</v>
      </c>
      <c r="J3" s="11" t="s">
        <v>59</v>
      </c>
      <c r="K3" s="11" t="s">
        <v>60</v>
      </c>
      <c r="L3" s="11" t="s">
        <v>61</v>
      </c>
      <c r="M3" s="11" t="s">
        <v>62</v>
      </c>
      <c r="N3" s="11" t="s">
        <v>63</v>
      </c>
      <c r="O3" s="11" t="s">
        <v>64</v>
      </c>
      <c r="P3" s="11" t="s">
        <v>65</v>
      </c>
      <c r="Q3" s="11" t="s">
        <v>66</v>
      </c>
      <c r="R3" s="1"/>
      <c r="S3" s="1"/>
      <c r="T3" s="1"/>
      <c r="U3" s="1"/>
      <c r="V3" s="1"/>
      <c r="W3" s="1"/>
      <c r="X3" s="1"/>
      <c r="Y3" s="1"/>
      <c r="Z3" s="1"/>
      <c r="AA3" s="1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ht="15.75" customHeight="1">
      <c r="A4" s="1"/>
      <c r="B4" s="20" t="s">
        <v>9</v>
      </c>
      <c r="C4" s="20" t="s">
        <v>41</v>
      </c>
      <c r="D4" s="23">
        <v>0.47</v>
      </c>
      <c r="E4" s="23">
        <v>4.3</v>
      </c>
      <c r="F4" s="1"/>
      <c r="G4" s="1"/>
      <c r="H4" s="9" t="s">
        <v>41</v>
      </c>
      <c r="I4" s="11" t="s">
        <v>71</v>
      </c>
      <c r="J4" s="11" t="s">
        <v>72</v>
      </c>
      <c r="K4" s="11" t="s">
        <v>73</v>
      </c>
      <c r="L4" s="11" t="s">
        <v>76</v>
      </c>
      <c r="M4" s="11" t="s">
        <v>78</v>
      </c>
      <c r="N4" s="11" t="s">
        <v>79</v>
      </c>
      <c r="O4" s="11" t="s">
        <v>80</v>
      </c>
      <c r="P4" s="11" t="s">
        <v>81</v>
      </c>
      <c r="Q4" s="11" t="s">
        <v>82</v>
      </c>
      <c r="R4" s="1"/>
      <c r="S4" s="1"/>
      <c r="T4" s="1"/>
      <c r="U4" s="1"/>
      <c r="V4" s="1"/>
      <c r="W4" s="1"/>
      <c r="X4" s="1"/>
      <c r="Y4" s="1"/>
      <c r="Z4" s="1"/>
      <c r="AA4" s="1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 ht="15.75" customHeight="1">
      <c r="A5" s="1"/>
      <c r="B5" s="20" t="s">
        <v>9</v>
      </c>
      <c r="C5" s="20" t="s">
        <v>42</v>
      </c>
      <c r="D5" s="23">
        <v>0.52</v>
      </c>
      <c r="E5" s="23">
        <v>4.73</v>
      </c>
      <c r="F5" s="1"/>
      <c r="G5" s="1"/>
      <c r="H5" s="9" t="s">
        <v>42</v>
      </c>
      <c r="I5" s="11" t="s">
        <v>89</v>
      </c>
      <c r="J5" s="11" t="s">
        <v>90</v>
      </c>
      <c r="K5" s="11" t="s">
        <v>91</v>
      </c>
      <c r="L5" s="11" t="s">
        <v>92</v>
      </c>
      <c r="M5" s="11" t="s">
        <v>93</v>
      </c>
      <c r="N5" s="11" t="s">
        <v>94</v>
      </c>
      <c r="O5" s="11" t="s">
        <v>95</v>
      </c>
      <c r="P5" s="11" t="s">
        <v>96</v>
      </c>
      <c r="Q5" s="11" t="s">
        <v>97</v>
      </c>
      <c r="R5" s="1"/>
      <c r="S5" s="1"/>
      <c r="T5" s="1"/>
      <c r="U5" s="1"/>
      <c r="V5" s="1"/>
      <c r="W5" s="1"/>
      <c r="X5" s="1"/>
      <c r="Y5" s="1"/>
      <c r="Z5" s="1"/>
      <c r="AA5" s="1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 ht="15.75" customHeight="1">
      <c r="A6" s="1"/>
      <c r="B6" s="20" t="s">
        <v>9</v>
      </c>
      <c r="C6" s="20" t="s">
        <v>43</v>
      </c>
      <c r="D6" s="23">
        <v>0.47</v>
      </c>
      <c r="E6" s="23">
        <v>5.25</v>
      </c>
      <c r="F6" s="1"/>
      <c r="G6" s="1"/>
      <c r="H6" s="9" t="s">
        <v>43</v>
      </c>
      <c r="I6" s="11" t="s">
        <v>100</v>
      </c>
      <c r="J6" s="11" t="s">
        <v>113</v>
      </c>
      <c r="K6" s="11" t="s">
        <v>114</v>
      </c>
      <c r="L6" s="11" t="s">
        <v>115</v>
      </c>
      <c r="M6" s="11" t="s">
        <v>116</v>
      </c>
      <c r="N6" s="11" t="s">
        <v>117</v>
      </c>
      <c r="O6" s="11" t="s">
        <v>118</v>
      </c>
      <c r="P6" s="11" t="s">
        <v>119</v>
      </c>
      <c r="Q6" s="11" t="s">
        <v>120</v>
      </c>
      <c r="R6" s="1"/>
      <c r="S6" s="1"/>
      <c r="T6" s="1"/>
      <c r="U6" s="1"/>
      <c r="V6" s="1"/>
      <c r="W6" s="1"/>
      <c r="X6" s="1"/>
      <c r="Y6" s="1"/>
      <c r="Z6" s="1"/>
      <c r="AA6" s="1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ht="15.75" customHeight="1">
      <c r="A7" s="1"/>
      <c r="B7" s="20" t="s">
        <v>9</v>
      </c>
      <c r="C7" s="20" t="s">
        <v>45</v>
      </c>
      <c r="D7" s="23">
        <v>0.36</v>
      </c>
      <c r="E7" s="23">
        <v>3.87</v>
      </c>
      <c r="F7" s="1"/>
      <c r="G7" s="1"/>
      <c r="H7" s="9" t="s">
        <v>45</v>
      </c>
      <c r="I7" s="11" t="s">
        <v>102</v>
      </c>
      <c r="J7" s="11" t="s">
        <v>124</v>
      </c>
      <c r="K7" s="11"/>
      <c r="L7" s="11"/>
      <c r="M7" s="11" t="s">
        <v>125</v>
      </c>
      <c r="N7" s="11"/>
      <c r="O7" s="11" t="s">
        <v>126</v>
      </c>
      <c r="P7" s="11" t="s">
        <v>127</v>
      </c>
      <c r="Q7" s="11" t="s">
        <v>128</v>
      </c>
      <c r="R7" s="1"/>
      <c r="S7" s="1"/>
      <c r="T7" s="1"/>
      <c r="U7" s="1"/>
      <c r="V7" s="1"/>
      <c r="W7" s="1"/>
      <c r="X7" s="1"/>
      <c r="Y7" s="1"/>
      <c r="Z7" s="1"/>
      <c r="AA7" s="1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 ht="15.75" customHeight="1">
      <c r="A8" s="1"/>
      <c r="B8" s="20" t="s">
        <v>9</v>
      </c>
      <c r="C8" s="20" t="s">
        <v>46</v>
      </c>
      <c r="D8" s="23">
        <v>0.41</v>
      </c>
      <c r="E8" s="23">
        <v>4.95</v>
      </c>
      <c r="F8" s="1"/>
      <c r="G8" s="1"/>
      <c r="H8" s="9" t="s">
        <v>46</v>
      </c>
      <c r="I8" s="11" t="s">
        <v>103</v>
      </c>
      <c r="J8" s="11" t="s">
        <v>132</v>
      </c>
      <c r="K8" s="11"/>
      <c r="L8" s="11"/>
      <c r="M8" s="11"/>
      <c r="N8" s="11"/>
      <c r="O8" s="11" t="s">
        <v>133</v>
      </c>
      <c r="P8" s="11" t="s">
        <v>134</v>
      </c>
      <c r="Q8" s="11" t="s">
        <v>135</v>
      </c>
      <c r="R8" s="1"/>
      <c r="S8" s="1"/>
      <c r="T8" s="1"/>
      <c r="U8" s="1"/>
      <c r="V8" s="1"/>
      <c r="W8" s="1"/>
      <c r="X8" s="1"/>
      <c r="Y8" s="1"/>
      <c r="Z8" s="1"/>
      <c r="AA8" s="1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ht="15.75" customHeight="1">
      <c r="A9" s="1"/>
      <c r="B9" s="20" t="s">
        <v>9</v>
      </c>
      <c r="C9" s="20" t="s">
        <v>48</v>
      </c>
      <c r="D9" s="23">
        <v>0.39</v>
      </c>
      <c r="E9" s="23">
        <v>3.87</v>
      </c>
      <c r="F9" s="1"/>
      <c r="G9" s="1"/>
      <c r="H9" s="9" t="s">
        <v>48</v>
      </c>
      <c r="I9" s="11" t="s">
        <v>104</v>
      </c>
      <c r="J9" s="11"/>
      <c r="K9" s="11"/>
      <c r="L9" s="11"/>
      <c r="M9" s="11"/>
      <c r="N9" s="11"/>
      <c r="O9" s="11" t="s">
        <v>140</v>
      </c>
      <c r="P9" s="11" t="s">
        <v>141</v>
      </c>
      <c r="Q9" s="11" t="s">
        <v>142</v>
      </c>
      <c r="R9" s="1"/>
      <c r="S9" s="1"/>
      <c r="T9" s="1"/>
      <c r="U9" s="1"/>
      <c r="V9" s="1"/>
      <c r="W9" s="1"/>
      <c r="X9" s="1"/>
      <c r="Y9" s="1"/>
      <c r="Z9" s="1"/>
      <c r="AA9" s="1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ht="15.75" customHeight="1">
      <c r="A10" s="1"/>
      <c r="B10" s="20" t="s">
        <v>9</v>
      </c>
      <c r="C10" s="20" t="s">
        <v>50</v>
      </c>
      <c r="D10" s="23">
        <v>0.49</v>
      </c>
      <c r="E10" s="23">
        <v>4.95</v>
      </c>
      <c r="F10" s="1"/>
      <c r="G10" s="1"/>
      <c r="H10" s="9" t="s">
        <v>50</v>
      </c>
      <c r="I10" s="11" t="s">
        <v>105</v>
      </c>
      <c r="J10" s="11"/>
      <c r="K10" s="11"/>
      <c r="L10" s="11"/>
      <c r="M10" s="11"/>
      <c r="N10" s="11"/>
      <c r="O10" s="11" t="s">
        <v>145</v>
      </c>
      <c r="P10" s="11"/>
      <c r="Q10" s="11" t="s">
        <v>146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ht="15.75" customHeight="1">
      <c r="A11" s="1"/>
      <c r="B11" s="20" t="s">
        <v>9</v>
      </c>
      <c r="C11" s="20" t="s">
        <v>51</v>
      </c>
      <c r="D11" s="23">
        <v>0.47</v>
      </c>
      <c r="E11" s="23">
        <v>4.73</v>
      </c>
      <c r="F11" s="1"/>
      <c r="G11" s="1"/>
      <c r="H11" s="9" t="s">
        <v>51</v>
      </c>
      <c r="I11" s="11" t="s">
        <v>106</v>
      </c>
      <c r="J11" s="11"/>
      <c r="K11" s="11"/>
      <c r="L11" s="11"/>
      <c r="M11" s="11"/>
      <c r="N11" s="11"/>
      <c r="O11" s="11" t="s">
        <v>152</v>
      </c>
      <c r="P11" s="11"/>
      <c r="Q11" s="11" t="s">
        <v>153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ht="15.75" customHeight="1">
      <c r="A12" s="1"/>
      <c r="B12" s="20" t="s">
        <v>10</v>
      </c>
      <c r="C12" s="20" t="s">
        <v>40</v>
      </c>
      <c r="D12" s="23">
        <v>0.7</v>
      </c>
      <c r="E12" s="23">
        <v>7.5</v>
      </c>
      <c r="F12" s="1"/>
      <c r="G12" s="1"/>
      <c r="H12" s="9"/>
      <c r="I12" s="11" t="s">
        <v>107</v>
      </c>
      <c r="J12" s="11"/>
      <c r="K12" s="11"/>
      <c r="L12" s="11"/>
      <c r="M12" s="11"/>
      <c r="N12" s="11"/>
      <c r="O12" s="11"/>
      <c r="P12" s="11"/>
      <c r="Q12" s="11" t="s">
        <v>157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ht="15.75" customHeight="1">
      <c r="A13" s="1"/>
      <c r="B13" s="20" t="s">
        <v>10</v>
      </c>
      <c r="C13" s="20" t="s">
        <v>58</v>
      </c>
      <c r="D13" s="23">
        <v>0.74</v>
      </c>
      <c r="E13" s="23">
        <v>7.88</v>
      </c>
      <c r="F13" s="1"/>
      <c r="G13" s="1"/>
      <c r="H13" s="9"/>
      <c r="I13" s="9" t="s">
        <v>108</v>
      </c>
      <c r="J13" s="9"/>
      <c r="K13" s="9"/>
      <c r="L13" s="9"/>
      <c r="M13" s="9"/>
      <c r="N13" s="9"/>
      <c r="O13" s="9"/>
      <c r="P13" s="9"/>
      <c r="Q13" s="9"/>
      <c r="R13" s="1"/>
      <c r="S13" s="1"/>
      <c r="T13" s="1"/>
      <c r="U13" s="1"/>
      <c r="V13" s="1"/>
      <c r="W13" s="1"/>
      <c r="X13" s="1"/>
      <c r="Y13" s="1"/>
      <c r="Z13" s="1"/>
      <c r="AA13" s="1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ht="15.75" customHeight="1">
      <c r="A14" s="1"/>
      <c r="B14" s="20" t="s">
        <v>10</v>
      </c>
      <c r="C14" s="20" t="s">
        <v>71</v>
      </c>
      <c r="D14" s="23">
        <v>0.48</v>
      </c>
      <c r="E14" s="23">
        <v>9.375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ht="15.75" customHeight="1">
      <c r="A15" s="1"/>
      <c r="B15" s="20" t="s">
        <v>10</v>
      </c>
      <c r="C15" s="20" t="s">
        <v>89</v>
      </c>
      <c r="D15" s="23">
        <v>0.58</v>
      </c>
      <c r="E15" s="23">
        <v>7.5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ht="15.75" customHeight="1">
      <c r="A16" s="1"/>
      <c r="B16" s="20" t="s">
        <v>10</v>
      </c>
      <c r="C16" s="20" t="s">
        <v>100</v>
      </c>
      <c r="D16" s="23">
        <v>0.7</v>
      </c>
      <c r="E16" s="23">
        <v>9.375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ht="15.75" customHeight="1">
      <c r="A17" s="1"/>
      <c r="B17" s="20" t="s">
        <v>10</v>
      </c>
      <c r="C17" s="20" t="s">
        <v>102</v>
      </c>
      <c r="D17" s="23">
        <v>0.7</v>
      </c>
      <c r="E17" s="23">
        <v>10.125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ht="15.75" customHeight="1">
      <c r="A18" s="1"/>
      <c r="B18" s="20" t="s">
        <v>10</v>
      </c>
      <c r="C18" s="20" t="s">
        <v>103</v>
      </c>
      <c r="D18" s="23">
        <v>0.52</v>
      </c>
      <c r="E18" s="23">
        <v>7.5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ht="15.75" customHeight="1">
      <c r="A19" s="1"/>
      <c r="B19" s="20" t="s">
        <v>10</v>
      </c>
      <c r="C19" s="20" t="s">
        <v>104</v>
      </c>
      <c r="D19" s="23">
        <v>0.74</v>
      </c>
      <c r="E19" s="23">
        <v>9.98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ht="15.75" customHeight="1">
      <c r="A20" s="1"/>
      <c r="B20" s="20" t="s">
        <v>10</v>
      </c>
      <c r="C20" s="20" t="s">
        <v>105</v>
      </c>
      <c r="D20" s="23">
        <v>0.52</v>
      </c>
      <c r="E20" s="23">
        <v>8.25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ht="15.75" customHeight="1">
      <c r="A21" s="1"/>
      <c r="B21" s="20" t="s">
        <v>10</v>
      </c>
      <c r="C21" s="20" t="s">
        <v>106</v>
      </c>
      <c r="D21" s="23">
        <v>0.7</v>
      </c>
      <c r="E21" s="23">
        <v>8.25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ht="15.75" customHeight="1">
      <c r="A22" s="1"/>
      <c r="B22" s="20" t="s">
        <v>10</v>
      </c>
      <c r="C22" s="20" t="s">
        <v>107</v>
      </c>
      <c r="D22" s="23">
        <v>0.64</v>
      </c>
      <c r="E22" s="23">
        <v>7.5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ht="15.75" customHeight="1">
      <c r="A23" s="1"/>
      <c r="B23" s="20" t="s">
        <v>10</v>
      </c>
      <c r="C23" s="20" t="s">
        <v>108</v>
      </c>
      <c r="D23" s="23">
        <v>0.7</v>
      </c>
      <c r="E23" s="23">
        <v>10.5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ht="15.75" customHeight="1">
      <c r="A24" s="1"/>
      <c r="B24" s="20" t="s">
        <v>13</v>
      </c>
      <c r="C24" s="20" t="s">
        <v>13</v>
      </c>
      <c r="D24" s="23">
        <v>1.17</v>
      </c>
      <c r="E24" s="23">
        <v>6.0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ht="15.75" customHeight="1">
      <c r="A25" s="1"/>
      <c r="B25" s="20" t="s">
        <v>13</v>
      </c>
      <c r="C25" s="20" t="s">
        <v>59</v>
      </c>
      <c r="D25" s="23">
        <v>1.17</v>
      </c>
      <c r="E25" s="23">
        <v>6.3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ht="15.75" customHeight="1">
      <c r="A26" s="1"/>
      <c r="B26" s="20" t="s">
        <v>13</v>
      </c>
      <c r="C26" s="20" t="s">
        <v>72</v>
      </c>
      <c r="D26" s="23">
        <v>1.17</v>
      </c>
      <c r="E26" s="23">
        <v>6.6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ht="15.75" customHeight="1">
      <c r="A27" s="1"/>
      <c r="B27" s="20" t="s">
        <v>13</v>
      </c>
      <c r="C27" s="20" t="s">
        <v>90</v>
      </c>
      <c r="D27" s="23">
        <v>1.17</v>
      </c>
      <c r="E27" s="23">
        <v>6.9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ht="15.75" customHeight="1">
      <c r="A28" s="1"/>
      <c r="B28" s="20" t="s">
        <v>13</v>
      </c>
      <c r="C28" s="20" t="s">
        <v>113</v>
      </c>
      <c r="D28" s="23">
        <v>1.17</v>
      </c>
      <c r="E28" s="23">
        <v>7.8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ht="15.75" customHeight="1">
      <c r="A29" s="1"/>
      <c r="B29" s="20" t="s">
        <v>13</v>
      </c>
      <c r="C29" s="20" t="s">
        <v>124</v>
      </c>
      <c r="D29" s="23">
        <v>1.3</v>
      </c>
      <c r="E29" s="23">
        <v>7.2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ht="15.75" customHeight="1">
      <c r="A30" s="1"/>
      <c r="B30" s="20" t="s">
        <v>13</v>
      </c>
      <c r="C30" s="20" t="s">
        <v>132</v>
      </c>
      <c r="D30" s="23">
        <v>1.11</v>
      </c>
      <c r="E30" s="23">
        <v>6.72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ht="15.75" customHeight="1">
      <c r="A31" s="1"/>
      <c r="B31" s="20" t="s">
        <v>15</v>
      </c>
      <c r="C31" s="20" t="s">
        <v>44</v>
      </c>
      <c r="D31" s="23">
        <v>0.55</v>
      </c>
      <c r="E31" s="23">
        <v>7.6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ht="15.75" customHeight="1">
      <c r="A32" s="1"/>
      <c r="B32" s="20" t="s">
        <v>15</v>
      </c>
      <c r="C32" s="20" t="s">
        <v>60</v>
      </c>
      <c r="D32" s="23">
        <v>0.63</v>
      </c>
      <c r="E32" s="23">
        <v>8.0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ht="15.75" customHeight="1">
      <c r="A33" s="1"/>
      <c r="B33" s="20" t="s">
        <v>15</v>
      </c>
      <c r="C33" s="20" t="s">
        <v>73</v>
      </c>
      <c r="D33" s="23">
        <v>0.74</v>
      </c>
      <c r="E33" s="23">
        <v>9.6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ht="15.75" customHeight="1">
      <c r="A34" s="1"/>
      <c r="B34" s="20" t="s">
        <v>15</v>
      </c>
      <c r="C34" s="20" t="s">
        <v>91</v>
      </c>
      <c r="D34" s="23">
        <v>0.51</v>
      </c>
      <c r="E34" s="23">
        <v>8.0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ht="15.75" customHeight="1">
      <c r="A35" s="1"/>
      <c r="B35" s="20" t="s">
        <v>15</v>
      </c>
      <c r="C35" s="20" t="s">
        <v>114</v>
      </c>
      <c r="D35" s="23">
        <v>0.51</v>
      </c>
      <c r="E35" s="23">
        <v>10.0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ht="15.75" customHeight="1">
      <c r="A36" s="1"/>
      <c r="B36" s="20" t="s">
        <v>17</v>
      </c>
      <c r="C36" s="20" t="s">
        <v>17</v>
      </c>
      <c r="D36" s="23">
        <v>0.88</v>
      </c>
      <c r="E36" s="23">
        <v>7.0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ht="15.75" customHeight="1">
      <c r="A37" s="1"/>
      <c r="B37" s="20" t="s">
        <v>17</v>
      </c>
      <c r="C37" s="20" t="s">
        <v>61</v>
      </c>
      <c r="D37" s="23">
        <v>0.88</v>
      </c>
      <c r="E37" s="23">
        <v>7.35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ht="15.75" customHeight="1">
      <c r="A38" s="1"/>
      <c r="B38" s="20" t="s">
        <v>17</v>
      </c>
      <c r="C38" s="20" t="s">
        <v>76</v>
      </c>
      <c r="D38" s="23">
        <v>0.88</v>
      </c>
      <c r="E38" s="23">
        <v>7.7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ht="15.75" customHeight="1">
      <c r="A39" s="1"/>
      <c r="B39" s="20" t="s">
        <v>17</v>
      </c>
      <c r="C39" s="20" t="s">
        <v>92</v>
      </c>
      <c r="D39" s="23">
        <v>0.88</v>
      </c>
      <c r="E39" s="23">
        <v>8.05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ht="15.75" customHeight="1">
      <c r="A40" s="1"/>
      <c r="B40" s="20" t="s">
        <v>17</v>
      </c>
      <c r="C40" s="20" t="s">
        <v>115</v>
      </c>
      <c r="D40" s="23">
        <v>0.88</v>
      </c>
      <c r="E40" s="23">
        <v>8.4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ht="15.75" customHeight="1">
      <c r="A41" s="1"/>
      <c r="B41" s="20" t="s">
        <v>18</v>
      </c>
      <c r="C41" s="20" t="s">
        <v>47</v>
      </c>
      <c r="D41" s="23">
        <v>0.69</v>
      </c>
      <c r="E41" s="23">
        <v>8.5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ht="15.75" customHeight="1">
      <c r="A42" s="1"/>
      <c r="B42" s="20" t="s">
        <v>18</v>
      </c>
      <c r="C42" s="20" t="s">
        <v>62</v>
      </c>
      <c r="D42" s="23">
        <v>0.73</v>
      </c>
      <c r="E42" s="23">
        <v>8.925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ht="15.75" customHeight="1">
      <c r="A43" s="1"/>
      <c r="B43" s="20" t="s">
        <v>18</v>
      </c>
      <c r="C43" s="20" t="s">
        <v>78</v>
      </c>
      <c r="D43" s="23">
        <v>0.69</v>
      </c>
      <c r="E43" s="23">
        <v>9.35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ht="15.75" customHeight="1">
      <c r="A44" s="1"/>
      <c r="B44" s="20" t="s">
        <v>18</v>
      </c>
      <c r="C44" s="20" t="s">
        <v>93</v>
      </c>
      <c r="D44" s="23">
        <v>0.58</v>
      </c>
      <c r="E44" s="23">
        <v>10.2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ht="15.75" customHeight="1">
      <c r="A45" s="1"/>
      <c r="B45" s="20" t="s">
        <v>18</v>
      </c>
      <c r="C45" s="20" t="s">
        <v>116</v>
      </c>
      <c r="D45" s="23">
        <v>0.63</v>
      </c>
      <c r="E45" s="23">
        <v>9.35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ht="15.75" customHeight="1">
      <c r="A46" s="1"/>
      <c r="B46" s="20" t="s">
        <v>18</v>
      </c>
      <c r="C46" s="20" t="s">
        <v>125</v>
      </c>
      <c r="D46" s="23">
        <v>0.69</v>
      </c>
      <c r="E46" s="23">
        <v>8.5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ht="15.75" customHeight="1">
      <c r="A47" s="1"/>
      <c r="B47" s="20" t="s">
        <v>20</v>
      </c>
      <c r="C47" s="20" t="s">
        <v>49</v>
      </c>
      <c r="D47" s="23">
        <v>1.2</v>
      </c>
      <c r="E47" s="23">
        <v>12.0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ht="15.75" customHeight="1">
      <c r="A48" s="1"/>
      <c r="B48" s="20" t="s">
        <v>20</v>
      </c>
      <c r="C48" s="20" t="s">
        <v>63</v>
      </c>
      <c r="D48" s="23">
        <v>1.33</v>
      </c>
      <c r="E48" s="23">
        <v>12.0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ht="15.75" customHeight="1">
      <c r="A49" s="1"/>
      <c r="B49" s="20" t="s">
        <v>20</v>
      </c>
      <c r="C49" s="20" t="s">
        <v>79</v>
      </c>
      <c r="D49" s="23">
        <v>1.33</v>
      </c>
      <c r="E49" s="23">
        <v>15.0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ht="15.75" customHeight="1">
      <c r="A50" s="1"/>
      <c r="B50" s="20" t="s">
        <v>20</v>
      </c>
      <c r="C50" s="20" t="s">
        <v>94</v>
      </c>
      <c r="D50" s="23">
        <v>1.09</v>
      </c>
      <c r="E50" s="23">
        <v>13.8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ht="15.75" customHeight="1">
      <c r="A51" s="1"/>
      <c r="B51" s="20" t="s">
        <v>20</v>
      </c>
      <c r="C51" s="20" t="s">
        <v>117</v>
      </c>
      <c r="D51" s="23">
        <v>1.26</v>
      </c>
      <c r="E51" s="23">
        <v>14.4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ht="15.75" customHeight="1">
      <c r="A52" s="1"/>
      <c r="B52" s="24" t="s">
        <v>22</v>
      </c>
      <c r="C52" s="24" t="s">
        <v>22</v>
      </c>
      <c r="D52" s="29">
        <v>0.73</v>
      </c>
      <c r="E52" s="29">
        <v>7.5</v>
      </c>
      <c r="F52" s="16"/>
      <c r="G52" s="16"/>
      <c r="H52" s="16"/>
      <c r="I52" s="1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ht="15.75" customHeight="1">
      <c r="A53" s="1"/>
      <c r="B53" s="105" t="s">
        <v>22</v>
      </c>
      <c r="C53" s="105" t="s">
        <v>64</v>
      </c>
      <c r="D53" s="106">
        <v>0.73</v>
      </c>
      <c r="E53" s="107">
        <v>7.5</v>
      </c>
      <c r="F53" s="108"/>
      <c r="G53" s="109"/>
      <c r="H53" s="109"/>
      <c r="I53" s="109"/>
      <c r="J53" s="1"/>
      <c r="K53" s="1"/>
      <c r="L53" s="1"/>
      <c r="M53" s="111"/>
      <c r="N53" s="111"/>
      <c r="O53" s="113"/>
      <c r="P53" s="11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ht="15.75" customHeight="1">
      <c r="A54" s="1"/>
      <c r="B54" s="114" t="s">
        <v>22</v>
      </c>
      <c r="C54" s="114" t="s">
        <v>80</v>
      </c>
      <c r="D54" s="106">
        <v>0.66</v>
      </c>
      <c r="E54" s="107">
        <v>9.75</v>
      </c>
      <c r="F54" s="108"/>
      <c r="G54" s="108"/>
      <c r="H54" s="109"/>
      <c r="I54" s="108"/>
      <c r="J54" s="1"/>
      <c r="K54" s="1"/>
      <c r="L54" s="1"/>
      <c r="M54" s="111"/>
      <c r="N54" s="111"/>
      <c r="O54" s="55"/>
      <c r="P54" s="111"/>
      <c r="Q54" s="1"/>
      <c r="R54" s="1"/>
      <c r="S54" s="84"/>
      <c r="T54" s="84"/>
      <c r="U54" s="1"/>
      <c r="V54" s="1"/>
      <c r="W54" s="1"/>
      <c r="X54" s="1"/>
      <c r="Y54" s="1"/>
      <c r="Z54" s="1"/>
      <c r="AA54" s="1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ht="15.75" customHeight="1">
      <c r="A55" s="1"/>
      <c r="B55" s="114" t="s">
        <v>22</v>
      </c>
      <c r="C55" s="114" t="s">
        <v>95</v>
      </c>
      <c r="D55" s="106">
        <v>0.79</v>
      </c>
      <c r="E55" s="107">
        <v>9.0</v>
      </c>
      <c r="F55" s="108"/>
      <c r="G55" s="109"/>
      <c r="H55" s="109"/>
      <c r="I55" s="108"/>
      <c r="J55" s="1"/>
      <c r="K55" s="1"/>
      <c r="L55" s="1"/>
      <c r="M55" s="111"/>
      <c r="N55" s="111"/>
      <c r="O55" s="55"/>
      <c r="P55" s="111"/>
      <c r="Q55" s="1"/>
      <c r="R55" s="1"/>
      <c r="S55" s="84"/>
      <c r="T55" s="84"/>
      <c r="U55" s="1"/>
      <c r="V55" s="1"/>
      <c r="W55" s="1"/>
      <c r="X55" s="1"/>
      <c r="Y55" s="1"/>
      <c r="Z55" s="1"/>
      <c r="AA55" s="1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ht="15.75" customHeight="1">
      <c r="A56" s="1"/>
      <c r="B56" s="114" t="s">
        <v>22</v>
      </c>
      <c r="C56" s="114" t="s">
        <v>118</v>
      </c>
      <c r="D56" s="106">
        <v>0.6</v>
      </c>
      <c r="E56" s="107">
        <v>7.5</v>
      </c>
      <c r="F56" s="108"/>
      <c r="G56" s="109"/>
      <c r="H56" s="109"/>
      <c r="I56" s="108"/>
      <c r="J56" s="1"/>
      <c r="K56" s="1"/>
      <c r="L56" s="1"/>
      <c r="M56" s="111"/>
      <c r="N56" s="111"/>
      <c r="O56" s="55"/>
      <c r="P56" s="111"/>
      <c r="Q56" s="1"/>
      <c r="R56" s="1"/>
      <c r="S56" s="84"/>
      <c r="T56" s="84"/>
      <c r="U56" s="1"/>
      <c r="V56" s="1"/>
      <c r="W56" s="1"/>
      <c r="X56" s="1"/>
      <c r="Y56" s="1"/>
      <c r="Z56" s="1"/>
      <c r="AA56" s="1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ht="15.75" customHeight="1">
      <c r="A57" s="1"/>
      <c r="B57" s="114" t="s">
        <v>22</v>
      </c>
      <c r="C57" s="114" t="s">
        <v>126</v>
      </c>
      <c r="D57" s="106">
        <v>0.76</v>
      </c>
      <c r="E57" s="107">
        <v>10.5</v>
      </c>
      <c r="F57" s="108"/>
      <c r="G57" s="109"/>
      <c r="H57" s="109"/>
      <c r="I57" s="108"/>
      <c r="J57" s="1"/>
      <c r="K57" s="1"/>
      <c r="L57" s="1"/>
      <c r="M57" s="111"/>
      <c r="N57" s="111"/>
      <c r="O57" s="55"/>
      <c r="P57" s="111"/>
      <c r="Q57" s="1"/>
      <c r="R57" s="1"/>
      <c r="S57" s="84"/>
      <c r="T57" s="84"/>
      <c r="U57" s="1"/>
      <c r="V57" s="1"/>
      <c r="W57" s="1"/>
      <c r="X57" s="1"/>
      <c r="Y57" s="1"/>
      <c r="Z57" s="1"/>
      <c r="AA57" s="1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ht="15.75" customHeight="1">
      <c r="A58" s="1"/>
      <c r="B58" s="114" t="s">
        <v>22</v>
      </c>
      <c r="C58" s="114" t="s">
        <v>133</v>
      </c>
      <c r="D58" s="106">
        <v>0.73</v>
      </c>
      <c r="E58" s="107">
        <v>7.5</v>
      </c>
      <c r="F58" s="108"/>
      <c r="G58" s="109"/>
      <c r="H58" s="109"/>
      <c r="I58" s="108"/>
      <c r="J58" s="1"/>
      <c r="K58" s="1"/>
      <c r="L58" s="1"/>
      <c r="M58" s="111"/>
      <c r="N58" s="111"/>
      <c r="O58" s="55"/>
      <c r="P58" s="111"/>
      <c r="Q58" s="1"/>
      <c r="R58" s="1"/>
      <c r="S58" s="84"/>
      <c r="T58" s="84"/>
      <c r="U58" s="1"/>
      <c r="V58" s="1"/>
      <c r="W58" s="1"/>
      <c r="X58" s="1"/>
      <c r="Y58" s="1"/>
      <c r="Z58" s="1"/>
      <c r="AA58" s="1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ht="15.75" customHeight="1">
      <c r="A59" s="1"/>
      <c r="B59" s="114" t="s">
        <v>22</v>
      </c>
      <c r="C59" s="114" t="s">
        <v>140</v>
      </c>
      <c r="D59" s="106">
        <v>0.66</v>
      </c>
      <c r="E59" s="107">
        <v>10.13</v>
      </c>
      <c r="F59" s="108"/>
      <c r="G59" s="109"/>
      <c r="H59" s="109"/>
      <c r="I59" s="108"/>
      <c r="J59" s="1"/>
      <c r="K59" s="1"/>
      <c r="L59" s="1"/>
      <c r="M59" s="111"/>
      <c r="N59" s="111"/>
      <c r="O59" s="55"/>
      <c r="P59" s="111"/>
      <c r="Q59" s="1"/>
      <c r="R59" s="1"/>
      <c r="S59" s="84"/>
      <c r="T59" s="84"/>
      <c r="U59" s="1"/>
      <c r="V59" s="1"/>
      <c r="W59" s="1"/>
      <c r="X59" s="1"/>
      <c r="Y59" s="1"/>
      <c r="Z59" s="1"/>
      <c r="AA59" s="1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ht="15.75" customHeight="1">
      <c r="A60" s="1"/>
      <c r="B60" s="114" t="s">
        <v>22</v>
      </c>
      <c r="C60" s="114" t="s">
        <v>145</v>
      </c>
      <c r="D60" s="106">
        <v>0.66</v>
      </c>
      <c r="E60" s="107">
        <v>10.5</v>
      </c>
      <c r="F60" s="108"/>
      <c r="G60" s="109"/>
      <c r="H60" s="109"/>
      <c r="I60" s="108"/>
      <c r="J60" s="1"/>
      <c r="K60" s="1"/>
      <c r="L60" s="1"/>
      <c r="M60" s="111"/>
      <c r="N60" s="111"/>
      <c r="O60" s="55"/>
      <c r="P60" s="111"/>
      <c r="Q60" s="1"/>
      <c r="R60" s="1"/>
      <c r="S60" s="84"/>
      <c r="T60" s="84"/>
      <c r="U60" s="1"/>
      <c r="V60" s="1"/>
      <c r="W60" s="1"/>
      <c r="X60" s="1"/>
      <c r="Y60" s="1"/>
      <c r="Z60" s="1"/>
      <c r="AA60" s="1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ht="15.75" customHeight="1">
      <c r="A61" s="1"/>
      <c r="B61" s="114" t="s">
        <v>22</v>
      </c>
      <c r="C61" s="114" t="s">
        <v>152</v>
      </c>
      <c r="D61" s="106">
        <v>0.73</v>
      </c>
      <c r="E61" s="107">
        <v>10.88</v>
      </c>
      <c r="F61" s="108"/>
      <c r="G61" s="109"/>
      <c r="H61" s="109"/>
      <c r="I61" s="108"/>
      <c r="J61" s="1"/>
      <c r="K61" s="1"/>
      <c r="L61" s="1"/>
      <c r="M61" s="111"/>
      <c r="N61" s="111"/>
      <c r="O61" s="55"/>
      <c r="P61" s="111"/>
      <c r="Q61" s="1"/>
      <c r="R61" s="1"/>
      <c r="S61" s="84"/>
      <c r="T61" s="84"/>
      <c r="U61" s="1"/>
      <c r="V61" s="1"/>
      <c r="W61" s="1"/>
      <c r="X61" s="1"/>
      <c r="Y61" s="1"/>
      <c r="Z61" s="1"/>
      <c r="AA61" s="1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ht="15.75" customHeight="1">
      <c r="A62" s="1"/>
      <c r="B62" s="114" t="s">
        <v>24</v>
      </c>
      <c r="C62" s="114" t="s">
        <v>53</v>
      </c>
      <c r="D62" s="106">
        <v>1.7</v>
      </c>
      <c r="E62" s="107">
        <v>15.75</v>
      </c>
      <c r="F62" s="108"/>
      <c r="G62" s="109"/>
      <c r="H62" s="109"/>
      <c r="I62" s="108"/>
      <c r="J62" s="1"/>
      <c r="K62" s="1"/>
      <c r="L62" s="1"/>
      <c r="M62" s="111"/>
      <c r="N62" s="111"/>
      <c r="O62" s="55"/>
      <c r="P62" s="111"/>
      <c r="Q62" s="1"/>
      <c r="R62" s="1"/>
      <c r="S62" s="84"/>
      <c r="T62" s="84"/>
      <c r="U62" s="1"/>
      <c r="V62" s="1"/>
      <c r="W62" s="1"/>
      <c r="X62" s="1"/>
      <c r="Y62" s="1"/>
      <c r="Z62" s="1"/>
      <c r="AA62" s="1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ht="15.75" customHeight="1">
      <c r="A63" s="1"/>
      <c r="B63" s="114" t="s">
        <v>24</v>
      </c>
      <c r="C63" s="114" t="s">
        <v>65</v>
      </c>
      <c r="D63" s="106">
        <v>1.54</v>
      </c>
      <c r="E63" s="107">
        <v>14.25</v>
      </c>
      <c r="F63" s="108"/>
      <c r="G63" s="109"/>
      <c r="H63" s="109"/>
      <c r="I63" s="108"/>
      <c r="J63" s="1"/>
      <c r="K63" s="1"/>
      <c r="L63" s="1"/>
      <c r="M63" s="111"/>
      <c r="N63" s="111"/>
      <c r="O63" s="55"/>
      <c r="P63" s="111"/>
      <c r="Q63" s="1"/>
      <c r="R63" s="1"/>
      <c r="S63" s="84"/>
      <c r="T63" s="84"/>
      <c r="U63" s="1"/>
      <c r="V63" s="1"/>
      <c r="W63" s="1"/>
      <c r="X63" s="1"/>
      <c r="Y63" s="1"/>
      <c r="Z63" s="1"/>
      <c r="AA63" s="1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ht="15.75" customHeight="1">
      <c r="A64" s="1"/>
      <c r="B64" s="114" t="s">
        <v>24</v>
      </c>
      <c r="C64" s="114" t="s">
        <v>81</v>
      </c>
      <c r="D64" s="106">
        <v>1.62</v>
      </c>
      <c r="E64" s="107">
        <v>17.25</v>
      </c>
      <c r="F64" s="108"/>
      <c r="G64" s="109"/>
      <c r="H64" s="109"/>
      <c r="I64" s="108"/>
      <c r="J64" s="1"/>
      <c r="K64" s="1"/>
      <c r="L64" s="1"/>
      <c r="M64" s="111"/>
      <c r="N64" s="111"/>
      <c r="O64" s="55"/>
      <c r="P64" s="111"/>
      <c r="Q64" s="1"/>
      <c r="R64" s="1"/>
      <c r="S64" s="84"/>
      <c r="T64" s="84"/>
      <c r="U64" s="1"/>
      <c r="V64" s="1"/>
      <c r="W64" s="1"/>
      <c r="X64" s="1"/>
      <c r="Y64" s="1"/>
      <c r="Z64" s="1"/>
      <c r="AA64" s="1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ht="15.75" customHeight="1">
      <c r="A65" s="1"/>
      <c r="B65" s="114" t="s">
        <v>24</v>
      </c>
      <c r="C65" s="114" t="s">
        <v>96</v>
      </c>
      <c r="D65" s="106">
        <v>1.47</v>
      </c>
      <c r="E65" s="107">
        <v>18.75</v>
      </c>
      <c r="F65" s="108"/>
      <c r="G65" s="109"/>
      <c r="H65" s="109"/>
      <c r="I65" s="108"/>
      <c r="J65" s="1"/>
      <c r="K65" s="1"/>
      <c r="L65" s="1"/>
      <c r="M65" s="113"/>
      <c r="N65" s="113"/>
      <c r="O65" s="1"/>
      <c r="P65" s="113"/>
      <c r="Q65" s="1"/>
      <c r="R65" s="1"/>
      <c r="S65" s="84"/>
      <c r="T65" s="84"/>
      <c r="U65" s="1"/>
      <c r="V65" s="1"/>
      <c r="W65" s="1"/>
      <c r="X65" s="1"/>
      <c r="Y65" s="1"/>
      <c r="Z65" s="1"/>
      <c r="AA65" s="1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ht="15.75" customHeight="1">
      <c r="A66" s="1"/>
      <c r="B66" s="114" t="s">
        <v>24</v>
      </c>
      <c r="C66" s="125" t="s">
        <v>278</v>
      </c>
      <c r="D66" s="106">
        <v>1.54</v>
      </c>
      <c r="E66" s="107">
        <v>14.25</v>
      </c>
      <c r="F66" s="108"/>
      <c r="G66" s="109"/>
      <c r="H66" s="109"/>
      <c r="I66" s="108"/>
      <c r="J66" s="1"/>
      <c r="K66" s="1"/>
      <c r="L66" s="1"/>
      <c r="M66" s="113"/>
      <c r="N66" s="113"/>
      <c r="O66" s="1"/>
      <c r="P66" s="113"/>
      <c r="Q66" s="1"/>
      <c r="R66" s="1"/>
      <c r="S66" s="84"/>
      <c r="T66" s="84"/>
      <c r="U66" s="1"/>
      <c r="V66" s="1"/>
      <c r="W66" s="1"/>
      <c r="X66" s="1"/>
      <c r="Y66" s="1"/>
      <c r="Z66" s="1"/>
      <c r="AA66" s="1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ht="15.75" customHeight="1">
      <c r="A67" s="1"/>
      <c r="B67" s="114" t="s">
        <v>24</v>
      </c>
      <c r="C67" s="114" t="s">
        <v>127</v>
      </c>
      <c r="D67" s="106">
        <v>1.7</v>
      </c>
      <c r="E67" s="107">
        <v>19.5</v>
      </c>
      <c r="F67" s="108"/>
      <c r="G67" s="109"/>
      <c r="H67" s="109"/>
      <c r="I67" s="108"/>
      <c r="J67" s="1"/>
      <c r="K67" s="1"/>
      <c r="L67" s="1"/>
      <c r="M67" s="113"/>
      <c r="N67" s="113"/>
      <c r="O67" s="1"/>
      <c r="P67" s="113"/>
      <c r="Q67" s="1"/>
      <c r="R67" s="1"/>
      <c r="S67" s="84"/>
      <c r="T67" s="84"/>
      <c r="U67" s="1"/>
      <c r="V67" s="1"/>
      <c r="W67" s="1"/>
      <c r="X67" s="1"/>
      <c r="Y67" s="1"/>
      <c r="Z67" s="1"/>
      <c r="AA67" s="1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ht="15.75" customHeight="1">
      <c r="A68" s="1"/>
      <c r="B68" s="114" t="s">
        <v>24</v>
      </c>
      <c r="C68" s="114" t="s">
        <v>134</v>
      </c>
      <c r="D68" s="106">
        <v>1.62</v>
      </c>
      <c r="E68" s="107">
        <v>18.0</v>
      </c>
      <c r="F68" s="108"/>
      <c r="G68" s="109"/>
      <c r="H68" s="109"/>
      <c r="I68" s="108"/>
      <c r="J68" s="1"/>
      <c r="K68" s="1"/>
      <c r="L68" s="1"/>
      <c r="M68" s="113"/>
      <c r="N68" s="113"/>
      <c r="O68" s="55"/>
      <c r="P68" s="113"/>
      <c r="Q68" s="1"/>
      <c r="R68" s="1"/>
      <c r="S68" s="84"/>
      <c r="T68" s="84"/>
      <c r="U68" s="1"/>
      <c r="V68" s="1"/>
      <c r="W68" s="1"/>
      <c r="X68" s="1"/>
      <c r="Y68" s="1"/>
      <c r="Z68" s="1"/>
      <c r="AA68" s="1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ht="15.75" customHeight="1">
      <c r="A69" s="1"/>
      <c r="B69" s="114" t="s">
        <v>24</v>
      </c>
      <c r="C69" s="114" t="s">
        <v>141</v>
      </c>
      <c r="D69" s="106">
        <v>1.35</v>
      </c>
      <c r="E69" s="107">
        <v>19.5</v>
      </c>
      <c r="F69" s="108"/>
      <c r="G69" s="109"/>
      <c r="H69" s="109"/>
      <c r="I69" s="108"/>
      <c r="J69" s="1"/>
      <c r="K69" s="1"/>
      <c r="L69" s="1"/>
      <c r="M69" s="111"/>
      <c r="N69" s="113"/>
      <c r="O69" s="55"/>
      <c r="P69" s="113"/>
      <c r="Q69" s="1"/>
      <c r="R69" s="1"/>
      <c r="S69" s="84"/>
      <c r="T69" s="84"/>
      <c r="U69" s="1"/>
      <c r="V69" s="1"/>
      <c r="W69" s="1"/>
      <c r="X69" s="1"/>
      <c r="Y69" s="1"/>
      <c r="Z69" s="1"/>
      <c r="AA69" s="1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ht="15.75" customHeight="1">
      <c r="A70" s="1"/>
      <c r="B70" s="114" t="s">
        <v>26</v>
      </c>
      <c r="C70" s="114" t="s">
        <v>20</v>
      </c>
      <c r="D70" s="106">
        <v>1.4</v>
      </c>
      <c r="E70" s="107">
        <v>20.0</v>
      </c>
      <c r="F70" s="108"/>
      <c r="G70" s="109"/>
      <c r="H70" s="109"/>
      <c r="I70" s="108"/>
      <c r="J70" s="1"/>
      <c r="K70" s="1"/>
      <c r="L70" s="1"/>
      <c r="M70" s="111"/>
      <c r="N70" s="113"/>
      <c r="O70" s="55"/>
      <c r="P70" s="113"/>
      <c r="Q70" s="1"/>
      <c r="R70" s="1"/>
      <c r="S70" s="84"/>
      <c r="T70" s="84"/>
      <c r="U70" s="1"/>
      <c r="V70" s="1"/>
      <c r="W70" s="1"/>
      <c r="X70" s="1"/>
      <c r="Y70" s="1"/>
      <c r="Z70" s="1"/>
      <c r="AA70" s="1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ht="15.75" customHeight="1">
      <c r="A71" s="1"/>
      <c r="B71" s="114" t="s">
        <v>26</v>
      </c>
      <c r="C71" s="114" t="s">
        <v>66</v>
      </c>
      <c r="D71" s="106">
        <v>1.56</v>
      </c>
      <c r="E71" s="107">
        <v>22.0</v>
      </c>
      <c r="F71" s="108"/>
      <c r="G71" s="109"/>
      <c r="H71" s="109"/>
      <c r="I71" s="108"/>
      <c r="J71" s="1"/>
      <c r="K71" s="1"/>
      <c r="L71" s="1"/>
      <c r="M71" s="111"/>
      <c r="N71" s="113"/>
      <c r="O71" s="55"/>
      <c r="P71" s="113"/>
      <c r="Q71" s="1"/>
      <c r="R71" s="1"/>
      <c r="S71" s="84"/>
      <c r="T71" s="84"/>
      <c r="U71" s="1"/>
      <c r="V71" s="1"/>
      <c r="W71" s="1"/>
      <c r="X71" s="1"/>
      <c r="Y71" s="1"/>
      <c r="Z71" s="1"/>
      <c r="AA71" s="1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ht="15.75" customHeight="1">
      <c r="A72" s="1"/>
      <c r="B72" s="114" t="s">
        <v>26</v>
      </c>
      <c r="C72" s="114" t="s">
        <v>82</v>
      </c>
      <c r="D72" s="106">
        <v>1.75</v>
      </c>
      <c r="E72" s="107">
        <v>24.0</v>
      </c>
      <c r="F72" s="108"/>
      <c r="G72" s="109"/>
      <c r="H72" s="109"/>
      <c r="I72" s="108"/>
      <c r="J72" s="1"/>
      <c r="K72" s="1"/>
      <c r="L72" s="1"/>
      <c r="M72" s="111"/>
      <c r="N72" s="113"/>
      <c r="O72" s="55"/>
      <c r="P72" s="113"/>
      <c r="Q72" s="1"/>
      <c r="R72" s="1"/>
      <c r="S72" s="84"/>
      <c r="T72" s="84"/>
      <c r="U72" s="1"/>
      <c r="V72" s="1"/>
      <c r="W72" s="1"/>
      <c r="X72" s="1"/>
      <c r="Y72" s="1"/>
      <c r="Z72" s="1"/>
      <c r="AA72" s="1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ht="15.75" customHeight="1">
      <c r="A73" s="1"/>
      <c r="B73" s="114" t="s">
        <v>26</v>
      </c>
      <c r="C73" s="114" t="s">
        <v>97</v>
      </c>
      <c r="D73" s="106">
        <v>1.4</v>
      </c>
      <c r="E73" s="107">
        <v>22.0</v>
      </c>
      <c r="F73" s="108"/>
      <c r="G73" s="109"/>
      <c r="H73" s="109"/>
      <c r="I73" s="108"/>
      <c r="J73" s="1"/>
      <c r="K73" s="1"/>
      <c r="L73" s="1"/>
      <c r="M73" s="111"/>
      <c r="N73" s="113"/>
      <c r="O73" s="55"/>
      <c r="P73" s="113"/>
      <c r="Q73" s="1"/>
      <c r="R73" s="1"/>
      <c r="S73" s="84"/>
      <c r="T73" s="84"/>
      <c r="U73" s="1"/>
      <c r="V73" s="1"/>
      <c r="W73" s="1"/>
      <c r="X73" s="1"/>
      <c r="Y73" s="1"/>
      <c r="Z73" s="1"/>
      <c r="AA73" s="1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ht="15.75" customHeight="1">
      <c r="A74" s="1"/>
      <c r="B74" s="114" t="s">
        <v>26</v>
      </c>
      <c r="C74" s="114" t="s">
        <v>120</v>
      </c>
      <c r="D74" s="106">
        <v>1.4</v>
      </c>
      <c r="E74" s="107">
        <v>18.0</v>
      </c>
      <c r="F74" s="108"/>
      <c r="G74" s="109"/>
      <c r="H74" s="109"/>
      <c r="I74" s="108"/>
      <c r="J74" s="1"/>
      <c r="K74" s="1"/>
      <c r="L74" s="1"/>
      <c r="M74" s="111"/>
      <c r="N74" s="113"/>
      <c r="O74" s="55"/>
      <c r="P74" s="113"/>
      <c r="Q74" s="1"/>
      <c r="R74" s="1"/>
      <c r="S74" s="84"/>
      <c r="T74" s="84"/>
      <c r="U74" s="1"/>
      <c r="V74" s="1"/>
      <c r="W74" s="1"/>
      <c r="X74" s="1"/>
      <c r="Y74" s="1"/>
      <c r="Z74" s="1"/>
      <c r="AA74" s="1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ht="15.75" customHeight="1">
      <c r="A75" s="1"/>
      <c r="B75" s="114" t="s">
        <v>26</v>
      </c>
      <c r="C75" s="114" t="s">
        <v>128</v>
      </c>
      <c r="D75" s="106">
        <v>1.4</v>
      </c>
      <c r="E75" s="107">
        <v>26.0</v>
      </c>
      <c r="F75" s="108"/>
      <c r="G75" s="109"/>
      <c r="H75" s="109"/>
      <c r="I75" s="108"/>
      <c r="J75" s="1"/>
      <c r="K75" s="1"/>
      <c r="L75" s="1"/>
      <c r="M75" s="111"/>
      <c r="N75" s="113"/>
      <c r="O75" s="55"/>
      <c r="P75" s="113"/>
      <c r="Q75" s="1"/>
      <c r="R75" s="1"/>
      <c r="S75" s="84"/>
      <c r="T75" s="84"/>
      <c r="U75" s="1"/>
      <c r="V75" s="1"/>
      <c r="W75" s="1"/>
      <c r="X75" s="1"/>
      <c r="Y75" s="1"/>
      <c r="Z75" s="1"/>
      <c r="AA75" s="1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ht="15.75" customHeight="1">
      <c r="A76" s="1"/>
      <c r="B76" s="114" t="s">
        <v>26</v>
      </c>
      <c r="C76" s="114" t="s">
        <v>135</v>
      </c>
      <c r="D76" s="106">
        <v>1.28</v>
      </c>
      <c r="E76" s="107">
        <v>22.0</v>
      </c>
      <c r="F76" s="108"/>
      <c r="G76" s="109"/>
      <c r="H76" s="109"/>
      <c r="I76" s="108"/>
      <c r="J76" s="1"/>
      <c r="K76" s="1"/>
      <c r="L76" s="1"/>
      <c r="M76" s="111"/>
      <c r="N76" s="113"/>
      <c r="O76" s="55"/>
      <c r="P76" s="113"/>
      <c r="Q76" s="1"/>
      <c r="R76" s="1"/>
      <c r="S76" s="84"/>
      <c r="T76" s="84"/>
      <c r="U76" s="1"/>
      <c r="V76" s="1"/>
      <c r="W76" s="1"/>
      <c r="X76" s="1"/>
      <c r="Y76" s="1"/>
      <c r="Z76" s="1"/>
      <c r="AA76" s="1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ht="15.75" customHeight="1">
      <c r="A77" s="1"/>
      <c r="B77" s="114" t="s">
        <v>26</v>
      </c>
      <c r="C77" s="114" t="s">
        <v>142</v>
      </c>
      <c r="D77" s="106">
        <v>1.4</v>
      </c>
      <c r="E77" s="107">
        <v>23.0</v>
      </c>
      <c r="F77" s="108"/>
      <c r="G77" s="109"/>
      <c r="H77" s="109"/>
      <c r="I77" s="108"/>
      <c r="J77" s="1"/>
      <c r="K77" s="1"/>
      <c r="L77" s="1"/>
      <c r="M77" s="111"/>
      <c r="N77" s="113"/>
      <c r="O77" s="55"/>
      <c r="P77" s="113"/>
      <c r="Q77" s="1"/>
      <c r="R77" s="1"/>
      <c r="S77" s="84"/>
      <c r="T77" s="84"/>
      <c r="U77" s="1"/>
      <c r="V77" s="1"/>
      <c r="W77" s="1"/>
      <c r="X77" s="1"/>
      <c r="Y77" s="1"/>
      <c r="Z77" s="1"/>
      <c r="AA77" s="1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ht="15.75" customHeight="1">
      <c r="A78" s="1"/>
      <c r="B78" s="114" t="s">
        <v>26</v>
      </c>
      <c r="C78" s="114" t="s">
        <v>146</v>
      </c>
      <c r="D78" s="106">
        <v>1.56</v>
      </c>
      <c r="E78" s="107">
        <v>25.0</v>
      </c>
      <c r="F78" s="108"/>
      <c r="G78" s="109"/>
      <c r="H78" s="109"/>
      <c r="I78" s="108"/>
      <c r="J78" s="1"/>
      <c r="K78" s="1"/>
      <c r="L78" s="1"/>
      <c r="M78" s="113"/>
      <c r="N78" s="113"/>
      <c r="O78" s="55"/>
      <c r="P78" s="113"/>
      <c r="Q78" s="1"/>
      <c r="R78" s="1"/>
      <c r="S78" s="84"/>
      <c r="T78" s="84"/>
      <c r="U78" s="1"/>
      <c r="V78" s="1"/>
      <c r="W78" s="1"/>
      <c r="X78" s="1"/>
      <c r="Y78" s="1"/>
      <c r="Z78" s="1"/>
      <c r="AA78" s="1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ht="15.75" customHeight="1">
      <c r="A79" s="1"/>
      <c r="B79" s="114" t="s">
        <v>26</v>
      </c>
      <c r="C79" s="114" t="s">
        <v>153</v>
      </c>
      <c r="D79" s="106">
        <v>1.4</v>
      </c>
      <c r="E79" s="107">
        <v>23.4</v>
      </c>
      <c r="F79" s="108"/>
      <c r="G79" s="109"/>
      <c r="H79" s="109"/>
      <c r="I79" s="108"/>
      <c r="J79" s="1"/>
      <c r="K79" s="1"/>
      <c r="L79" s="1"/>
      <c r="M79" s="113"/>
      <c r="N79" s="113"/>
      <c r="O79" s="55"/>
      <c r="P79" s="113"/>
      <c r="Q79" s="1"/>
      <c r="R79" s="1"/>
      <c r="S79" s="84"/>
      <c r="T79" s="84"/>
      <c r="U79" s="1"/>
      <c r="V79" s="1"/>
      <c r="W79" s="1"/>
      <c r="X79" s="1"/>
      <c r="Y79" s="1"/>
      <c r="Z79" s="1"/>
      <c r="AA79" s="1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ht="15.75" customHeight="1">
      <c r="A80" s="1"/>
      <c r="B80" s="114" t="s">
        <v>26</v>
      </c>
      <c r="C80" s="114" t="s">
        <v>157</v>
      </c>
      <c r="D80" s="106">
        <v>1.4</v>
      </c>
      <c r="E80" s="107">
        <v>27.0</v>
      </c>
      <c r="F80" s="108"/>
      <c r="G80" s="109"/>
      <c r="H80" s="109"/>
      <c r="I80" s="108"/>
      <c r="J80" s="1"/>
      <c r="K80" s="1"/>
      <c r="L80" s="1"/>
      <c r="M80" s="113"/>
      <c r="N80" s="113"/>
      <c r="O80" s="1"/>
      <c r="P80" s="113"/>
      <c r="Q80" s="1"/>
      <c r="R80" s="1"/>
      <c r="S80" s="84"/>
      <c r="T80" s="84"/>
      <c r="U80" s="1"/>
      <c r="V80" s="1"/>
      <c r="W80" s="1"/>
      <c r="X80" s="1"/>
      <c r="Y80" s="1"/>
      <c r="Z80" s="1"/>
      <c r="AA80" s="1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ht="15.75" customHeight="1">
      <c r="A132" s="1"/>
      <c r="B132" s="16"/>
      <c r="C132" s="16"/>
      <c r="D132" s="16"/>
      <c r="E132" s="16"/>
      <c r="F132" s="16"/>
      <c r="G132" s="16"/>
      <c r="H132" s="16"/>
      <c r="I132" s="1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ht="15.75" customHeight="1">
      <c r="A133" s="1"/>
      <c r="B133" s="109"/>
      <c r="C133" s="109"/>
      <c r="D133" s="151"/>
      <c r="E133" s="109"/>
      <c r="F133" s="108"/>
      <c r="G133" s="109"/>
      <c r="H133" s="109"/>
      <c r="I133" s="109"/>
      <c r="J133" s="1"/>
      <c r="K133" s="1"/>
      <c r="L133" s="1"/>
      <c r="M133" s="111"/>
      <c r="N133" s="111"/>
      <c r="O133" s="113"/>
      <c r="P133" s="11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ht="15.75" customHeight="1">
      <c r="A134" s="1"/>
      <c r="B134" s="108"/>
      <c r="C134" s="108"/>
      <c r="D134" s="151"/>
      <c r="E134" s="109"/>
      <c r="F134" s="108"/>
      <c r="G134" s="108"/>
      <c r="H134" s="109"/>
      <c r="I134" s="108"/>
      <c r="J134" s="1"/>
      <c r="K134" s="1"/>
      <c r="L134" s="1"/>
      <c r="M134" s="111"/>
      <c r="N134" s="111"/>
      <c r="O134" s="55"/>
      <c r="P134" s="111"/>
      <c r="Q134" s="1"/>
      <c r="R134" s="1"/>
      <c r="S134" s="84"/>
      <c r="T134" s="84"/>
      <c r="U134" s="1"/>
      <c r="V134" s="1"/>
      <c r="W134" s="1"/>
      <c r="X134" s="1"/>
      <c r="Y134" s="1"/>
      <c r="Z134" s="1"/>
      <c r="AA134" s="1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ht="15.75" customHeight="1">
      <c r="A135" s="1"/>
      <c r="B135" s="108"/>
      <c r="C135" s="108"/>
      <c r="D135" s="151"/>
      <c r="E135" s="109"/>
      <c r="F135" s="108"/>
      <c r="G135" s="109"/>
      <c r="H135" s="109"/>
      <c r="I135" s="108"/>
      <c r="J135" s="1"/>
      <c r="K135" s="1"/>
      <c r="L135" s="1"/>
      <c r="M135" s="111"/>
      <c r="N135" s="111"/>
      <c r="O135" s="55"/>
      <c r="P135" s="111"/>
      <c r="Q135" s="1"/>
      <c r="R135" s="1"/>
      <c r="S135" s="84"/>
      <c r="T135" s="84"/>
      <c r="U135" s="1"/>
      <c r="V135" s="1"/>
      <c r="W135" s="1"/>
      <c r="X135" s="1"/>
      <c r="Y135" s="1"/>
      <c r="Z135" s="1"/>
      <c r="AA135" s="1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ht="15.75" customHeight="1">
      <c r="A136" s="1"/>
      <c r="B136" s="108"/>
      <c r="C136" s="108"/>
      <c r="D136" s="151"/>
      <c r="E136" s="109"/>
      <c r="F136" s="108"/>
      <c r="G136" s="109"/>
      <c r="H136" s="109"/>
      <c r="I136" s="108"/>
      <c r="J136" s="1"/>
      <c r="K136" s="1"/>
      <c r="L136" s="1"/>
      <c r="M136" s="111"/>
      <c r="N136" s="111"/>
      <c r="O136" s="55"/>
      <c r="P136" s="111"/>
      <c r="Q136" s="1"/>
      <c r="R136" s="1"/>
      <c r="S136" s="84"/>
      <c r="T136" s="84"/>
      <c r="U136" s="1"/>
      <c r="V136" s="1"/>
      <c r="W136" s="1"/>
      <c r="X136" s="1"/>
      <c r="Y136" s="1"/>
      <c r="Z136" s="1"/>
      <c r="AA136" s="1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ht="15.75" customHeight="1">
      <c r="A137" s="1"/>
      <c r="B137" s="108"/>
      <c r="C137" s="108"/>
      <c r="D137" s="151"/>
      <c r="E137" s="109"/>
      <c r="F137" s="108"/>
      <c r="G137" s="109"/>
      <c r="H137" s="109"/>
      <c r="I137" s="108"/>
      <c r="J137" s="1"/>
      <c r="K137" s="1"/>
      <c r="L137" s="1"/>
      <c r="M137" s="111"/>
      <c r="N137" s="111"/>
      <c r="O137" s="55"/>
      <c r="P137" s="111"/>
      <c r="Q137" s="1"/>
      <c r="R137" s="1"/>
      <c r="S137" s="84"/>
      <c r="T137" s="84"/>
      <c r="U137" s="1"/>
      <c r="V137" s="1"/>
      <c r="W137" s="1"/>
      <c r="X137" s="1"/>
      <c r="Y137" s="1"/>
      <c r="Z137" s="1"/>
      <c r="AA137" s="1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ht="15.75" customHeight="1">
      <c r="A138" s="1"/>
      <c r="B138" s="108"/>
      <c r="C138" s="108"/>
      <c r="D138" s="151"/>
      <c r="E138" s="109"/>
      <c r="F138" s="108"/>
      <c r="G138" s="109"/>
      <c r="H138" s="109"/>
      <c r="I138" s="108"/>
      <c r="J138" s="1"/>
      <c r="K138" s="1"/>
      <c r="L138" s="1"/>
      <c r="M138" s="111"/>
      <c r="N138" s="111"/>
      <c r="O138" s="55"/>
      <c r="P138" s="111"/>
      <c r="Q138" s="1"/>
      <c r="R138" s="1"/>
      <c r="S138" s="84"/>
      <c r="T138" s="84"/>
      <c r="U138" s="1"/>
      <c r="V138" s="1"/>
      <c r="W138" s="1"/>
      <c r="X138" s="1"/>
      <c r="Y138" s="1"/>
      <c r="Z138" s="1"/>
      <c r="AA138" s="1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ht="15.75" customHeight="1">
      <c r="A139" s="1"/>
      <c r="B139" s="108"/>
      <c r="C139" s="108"/>
      <c r="D139" s="151"/>
      <c r="E139" s="109"/>
      <c r="F139" s="108"/>
      <c r="G139" s="109"/>
      <c r="H139" s="109"/>
      <c r="I139" s="108"/>
      <c r="J139" s="1"/>
      <c r="K139" s="1"/>
      <c r="L139" s="1"/>
      <c r="M139" s="111"/>
      <c r="N139" s="111"/>
      <c r="O139" s="55"/>
      <c r="P139" s="111"/>
      <c r="Q139" s="1"/>
      <c r="R139" s="1"/>
      <c r="S139" s="84"/>
      <c r="T139" s="84"/>
      <c r="U139" s="1"/>
      <c r="V139" s="1"/>
      <c r="W139" s="1"/>
      <c r="X139" s="1"/>
      <c r="Y139" s="1"/>
      <c r="Z139" s="1"/>
      <c r="AA139" s="1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ht="15.75" customHeight="1">
      <c r="A140" s="1"/>
      <c r="B140" s="108"/>
      <c r="C140" s="108"/>
      <c r="D140" s="151"/>
      <c r="E140" s="109"/>
      <c r="F140" s="108"/>
      <c r="G140" s="109"/>
      <c r="H140" s="109"/>
      <c r="I140" s="108"/>
      <c r="J140" s="1"/>
      <c r="K140" s="1"/>
      <c r="L140" s="1"/>
      <c r="M140" s="111"/>
      <c r="N140" s="111"/>
      <c r="O140" s="55"/>
      <c r="P140" s="111"/>
      <c r="Q140" s="1"/>
      <c r="R140" s="1"/>
      <c r="S140" s="84"/>
      <c r="T140" s="84"/>
      <c r="U140" s="1"/>
      <c r="V140" s="1"/>
      <c r="W140" s="1"/>
      <c r="X140" s="1"/>
      <c r="Y140" s="1"/>
      <c r="Z140" s="1"/>
      <c r="AA140" s="1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ht="15.75" customHeight="1">
      <c r="A141" s="1"/>
      <c r="B141" s="108"/>
      <c r="C141" s="108"/>
      <c r="D141" s="151"/>
      <c r="E141" s="109"/>
      <c r="F141" s="108"/>
      <c r="G141" s="109"/>
      <c r="H141" s="109"/>
      <c r="I141" s="108"/>
      <c r="J141" s="1"/>
      <c r="K141" s="1"/>
      <c r="L141" s="1"/>
      <c r="M141" s="111"/>
      <c r="N141" s="111"/>
      <c r="O141" s="55"/>
      <c r="P141" s="111"/>
      <c r="Q141" s="1"/>
      <c r="R141" s="1"/>
      <c r="S141" s="84"/>
      <c r="T141" s="84"/>
      <c r="U141" s="1"/>
      <c r="V141" s="1"/>
      <c r="W141" s="1"/>
      <c r="X141" s="1"/>
      <c r="Y141" s="1"/>
      <c r="Z141" s="1"/>
      <c r="AA141" s="1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ht="15.75" customHeight="1">
      <c r="A142" s="1"/>
      <c r="B142" s="108"/>
      <c r="C142" s="108"/>
      <c r="D142" s="151"/>
      <c r="E142" s="109"/>
      <c r="F142" s="108"/>
      <c r="G142" s="109"/>
      <c r="H142" s="109"/>
      <c r="I142" s="108"/>
      <c r="J142" s="1"/>
      <c r="K142" s="1"/>
      <c r="L142" s="1"/>
      <c r="M142" s="111"/>
      <c r="N142" s="111"/>
      <c r="O142" s="55"/>
      <c r="P142" s="111"/>
      <c r="Q142" s="1"/>
      <c r="R142" s="1"/>
      <c r="S142" s="84"/>
      <c r="T142" s="84"/>
      <c r="U142" s="1"/>
      <c r="V142" s="1"/>
      <c r="W142" s="1"/>
      <c r="X142" s="1"/>
      <c r="Y142" s="1"/>
      <c r="Z142" s="1"/>
      <c r="AA142" s="1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ht="15.75" customHeight="1">
      <c r="A143" s="1"/>
      <c r="B143" s="108"/>
      <c r="C143" s="108"/>
      <c r="D143" s="151"/>
      <c r="E143" s="109"/>
      <c r="F143" s="108"/>
      <c r="G143" s="109"/>
      <c r="H143" s="109"/>
      <c r="I143" s="108"/>
      <c r="J143" s="1"/>
      <c r="K143" s="1"/>
      <c r="L143" s="1"/>
      <c r="M143" s="111"/>
      <c r="N143" s="111"/>
      <c r="O143" s="55"/>
      <c r="P143" s="111"/>
      <c r="Q143" s="1"/>
      <c r="R143" s="1"/>
      <c r="S143" s="84"/>
      <c r="T143" s="84"/>
      <c r="U143" s="1"/>
      <c r="V143" s="1"/>
      <c r="W143" s="1"/>
      <c r="X143" s="1"/>
      <c r="Y143" s="1"/>
      <c r="Z143" s="1"/>
      <c r="AA143" s="1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ht="15.75" customHeight="1">
      <c r="A144" s="1"/>
      <c r="B144" s="108"/>
      <c r="C144" s="108"/>
      <c r="D144" s="151"/>
      <c r="E144" s="109"/>
      <c r="F144" s="108"/>
      <c r="G144" s="109"/>
      <c r="H144" s="109"/>
      <c r="I144" s="108"/>
      <c r="J144" s="1"/>
      <c r="K144" s="1"/>
      <c r="L144" s="1"/>
      <c r="M144" s="111"/>
      <c r="N144" s="111"/>
      <c r="O144" s="55"/>
      <c r="P144" s="111"/>
      <c r="Q144" s="1"/>
      <c r="R144" s="1"/>
      <c r="S144" s="84"/>
      <c r="T144" s="84"/>
      <c r="U144" s="1"/>
      <c r="V144" s="1"/>
      <c r="W144" s="1"/>
      <c r="X144" s="1"/>
      <c r="Y144" s="1"/>
      <c r="Z144" s="1"/>
      <c r="AA144" s="1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ht="15.75" customHeight="1">
      <c r="A145" s="1"/>
      <c r="B145" s="108"/>
      <c r="C145" s="108"/>
      <c r="D145" s="151"/>
      <c r="E145" s="109"/>
      <c r="F145" s="108"/>
      <c r="G145" s="109"/>
      <c r="H145" s="109"/>
      <c r="I145" s="108"/>
      <c r="J145" s="1"/>
      <c r="K145" s="1"/>
      <c r="L145" s="1"/>
      <c r="M145" s="113"/>
      <c r="N145" s="113"/>
      <c r="O145" s="1"/>
      <c r="P145" s="113"/>
      <c r="Q145" s="1"/>
      <c r="R145" s="1"/>
      <c r="S145" s="84"/>
      <c r="T145" s="84"/>
      <c r="U145" s="1"/>
      <c r="V145" s="1"/>
      <c r="W145" s="1"/>
      <c r="X145" s="1"/>
      <c r="Y145" s="1"/>
      <c r="Z145" s="1"/>
      <c r="AA145" s="1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ht="15.75" customHeight="1">
      <c r="A146" s="1"/>
      <c r="B146" s="108"/>
      <c r="C146" s="108"/>
      <c r="D146" s="151"/>
      <c r="E146" s="109"/>
      <c r="F146" s="108"/>
      <c r="G146" s="109"/>
      <c r="H146" s="109"/>
      <c r="I146" s="108"/>
      <c r="J146" s="1"/>
      <c r="K146" s="1"/>
      <c r="L146" s="1"/>
      <c r="M146" s="113"/>
      <c r="N146" s="113"/>
      <c r="O146" s="1"/>
      <c r="P146" s="113"/>
      <c r="Q146" s="1"/>
      <c r="R146" s="1"/>
      <c r="S146" s="84"/>
      <c r="T146" s="84"/>
      <c r="U146" s="1"/>
      <c r="V146" s="1"/>
      <c r="W146" s="1"/>
      <c r="X146" s="1"/>
      <c r="Y146" s="1"/>
      <c r="Z146" s="1"/>
      <c r="AA146" s="1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ht="15.75" customHeight="1">
      <c r="A147" s="1"/>
      <c r="B147" s="108"/>
      <c r="C147" s="108"/>
      <c r="D147" s="151"/>
      <c r="E147" s="109"/>
      <c r="F147" s="108"/>
      <c r="G147" s="109"/>
      <c r="H147" s="109"/>
      <c r="I147" s="108"/>
      <c r="J147" s="1"/>
      <c r="K147" s="1"/>
      <c r="L147" s="1"/>
      <c r="M147" s="113"/>
      <c r="N147" s="113"/>
      <c r="O147" s="1"/>
      <c r="P147" s="113"/>
      <c r="Q147" s="1"/>
      <c r="R147" s="1"/>
      <c r="S147" s="84"/>
      <c r="T147" s="84"/>
      <c r="U147" s="1"/>
      <c r="V147" s="1"/>
      <c r="W147" s="1"/>
      <c r="X147" s="1"/>
      <c r="Y147" s="1"/>
      <c r="Z147" s="1"/>
      <c r="AA147" s="1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ht="15.75" customHeight="1">
      <c r="A148" s="1"/>
      <c r="B148" s="108"/>
      <c r="C148" s="108"/>
      <c r="D148" s="151"/>
      <c r="E148" s="109"/>
      <c r="F148" s="108"/>
      <c r="G148" s="109"/>
      <c r="H148" s="109"/>
      <c r="I148" s="108"/>
      <c r="J148" s="1"/>
      <c r="K148" s="1"/>
      <c r="L148" s="1"/>
      <c r="M148" s="113"/>
      <c r="N148" s="113"/>
      <c r="O148" s="55"/>
      <c r="P148" s="113"/>
      <c r="Q148" s="1"/>
      <c r="R148" s="1"/>
      <c r="S148" s="84"/>
      <c r="T148" s="84"/>
      <c r="U148" s="1"/>
      <c r="V148" s="1"/>
      <c r="W148" s="1"/>
      <c r="X148" s="1"/>
      <c r="Y148" s="1"/>
      <c r="Z148" s="1"/>
      <c r="AA148" s="1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ht="15.75" customHeight="1">
      <c r="A149" s="1"/>
      <c r="B149" s="108"/>
      <c r="C149" s="108"/>
      <c r="D149" s="151"/>
      <c r="E149" s="109"/>
      <c r="F149" s="108"/>
      <c r="G149" s="109"/>
      <c r="H149" s="109"/>
      <c r="I149" s="108"/>
      <c r="J149" s="1"/>
      <c r="K149" s="1"/>
      <c r="L149" s="1"/>
      <c r="M149" s="111"/>
      <c r="N149" s="113"/>
      <c r="O149" s="55"/>
      <c r="P149" s="113"/>
      <c r="Q149" s="1"/>
      <c r="R149" s="1"/>
      <c r="S149" s="84"/>
      <c r="T149" s="84"/>
      <c r="U149" s="1"/>
      <c r="V149" s="1"/>
      <c r="W149" s="1"/>
      <c r="X149" s="1"/>
      <c r="Y149" s="1"/>
      <c r="Z149" s="1"/>
      <c r="AA149" s="1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ht="15.75" customHeight="1">
      <c r="A150" s="1"/>
      <c r="B150" s="108"/>
      <c r="C150" s="108"/>
      <c r="D150" s="151"/>
      <c r="E150" s="109"/>
      <c r="F150" s="108"/>
      <c r="G150" s="109"/>
      <c r="H150" s="109"/>
      <c r="I150" s="108"/>
      <c r="J150" s="1"/>
      <c r="K150" s="1"/>
      <c r="L150" s="1"/>
      <c r="M150" s="111"/>
      <c r="N150" s="113"/>
      <c r="O150" s="55"/>
      <c r="P150" s="113"/>
      <c r="Q150" s="1"/>
      <c r="R150" s="1"/>
      <c r="S150" s="84"/>
      <c r="T150" s="84"/>
      <c r="U150" s="1"/>
      <c r="V150" s="1"/>
      <c r="W150" s="1"/>
      <c r="X150" s="1"/>
      <c r="Y150" s="1"/>
      <c r="Z150" s="1"/>
      <c r="AA150" s="1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ht="15.75" customHeight="1">
      <c r="A151" s="1"/>
      <c r="B151" s="108"/>
      <c r="C151" s="108"/>
      <c r="D151" s="151"/>
      <c r="E151" s="109"/>
      <c r="F151" s="108"/>
      <c r="G151" s="109"/>
      <c r="H151" s="109"/>
      <c r="I151" s="108"/>
      <c r="J151" s="1"/>
      <c r="K151" s="1"/>
      <c r="L151" s="1"/>
      <c r="M151" s="111"/>
      <c r="N151" s="113"/>
      <c r="O151" s="55"/>
      <c r="P151" s="113"/>
      <c r="Q151" s="1"/>
      <c r="R151" s="1"/>
      <c r="S151" s="84"/>
      <c r="T151" s="84"/>
      <c r="U151" s="1"/>
      <c r="V151" s="1"/>
      <c r="W151" s="1"/>
      <c r="X151" s="1"/>
      <c r="Y151" s="1"/>
      <c r="Z151" s="1"/>
      <c r="AA151" s="1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ht="15.75" customHeight="1">
      <c r="A152" s="1"/>
      <c r="B152" s="108"/>
      <c r="C152" s="108"/>
      <c r="D152" s="151"/>
      <c r="E152" s="109"/>
      <c r="F152" s="108"/>
      <c r="G152" s="109"/>
      <c r="H152" s="109"/>
      <c r="I152" s="108"/>
      <c r="J152" s="1"/>
      <c r="K152" s="1"/>
      <c r="L152" s="1"/>
      <c r="M152" s="111"/>
      <c r="N152" s="113"/>
      <c r="O152" s="55"/>
      <c r="P152" s="113"/>
      <c r="Q152" s="1"/>
      <c r="R152" s="1"/>
      <c r="S152" s="84"/>
      <c r="T152" s="84"/>
      <c r="U152" s="1"/>
      <c r="V152" s="1"/>
      <c r="W152" s="1"/>
      <c r="X152" s="1"/>
      <c r="Y152" s="1"/>
      <c r="Z152" s="1"/>
      <c r="AA152" s="1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ht="15.75" customHeight="1">
      <c r="A153" s="1"/>
      <c r="B153" s="108"/>
      <c r="C153" s="108"/>
      <c r="D153" s="151"/>
      <c r="E153" s="109"/>
      <c r="F153" s="108"/>
      <c r="G153" s="109"/>
      <c r="H153" s="109"/>
      <c r="I153" s="108"/>
      <c r="J153" s="1"/>
      <c r="K153" s="1"/>
      <c r="L153" s="1"/>
      <c r="M153" s="111"/>
      <c r="N153" s="113"/>
      <c r="O153" s="55"/>
      <c r="P153" s="113"/>
      <c r="Q153" s="1"/>
      <c r="R153" s="1"/>
      <c r="S153" s="84"/>
      <c r="T153" s="84"/>
      <c r="U153" s="1"/>
      <c r="V153" s="1"/>
      <c r="W153" s="1"/>
      <c r="X153" s="1"/>
      <c r="Y153" s="1"/>
      <c r="Z153" s="1"/>
      <c r="AA153" s="1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ht="15.75" customHeight="1">
      <c r="A154" s="1"/>
      <c r="B154" s="108"/>
      <c r="C154" s="108"/>
      <c r="D154" s="151"/>
      <c r="E154" s="109"/>
      <c r="F154" s="108"/>
      <c r="G154" s="109"/>
      <c r="H154" s="109"/>
      <c r="I154" s="108"/>
      <c r="J154" s="1"/>
      <c r="K154" s="1"/>
      <c r="L154" s="1"/>
      <c r="M154" s="111"/>
      <c r="N154" s="113"/>
      <c r="O154" s="55"/>
      <c r="P154" s="113"/>
      <c r="Q154" s="1"/>
      <c r="R154" s="1"/>
      <c r="S154" s="84"/>
      <c r="T154" s="84"/>
      <c r="U154" s="1"/>
      <c r="V154" s="1"/>
      <c r="W154" s="1"/>
      <c r="X154" s="1"/>
      <c r="Y154" s="1"/>
      <c r="Z154" s="1"/>
      <c r="AA154" s="1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ht="15.75" customHeight="1">
      <c r="A155" s="1"/>
      <c r="B155" s="108"/>
      <c r="C155" s="108"/>
      <c r="D155" s="151"/>
      <c r="E155" s="109"/>
      <c r="F155" s="108"/>
      <c r="G155" s="109"/>
      <c r="H155" s="109"/>
      <c r="I155" s="108"/>
      <c r="J155" s="1"/>
      <c r="K155" s="1"/>
      <c r="L155" s="1"/>
      <c r="M155" s="111"/>
      <c r="N155" s="113"/>
      <c r="O155" s="55"/>
      <c r="P155" s="113"/>
      <c r="Q155" s="1"/>
      <c r="R155" s="1"/>
      <c r="S155" s="84"/>
      <c r="T155" s="84"/>
      <c r="U155" s="1"/>
      <c r="V155" s="1"/>
      <c r="W155" s="1"/>
      <c r="X155" s="1"/>
      <c r="Y155" s="1"/>
      <c r="Z155" s="1"/>
      <c r="AA155" s="1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ht="15.75" customHeight="1">
      <c r="A156" s="1"/>
      <c r="B156" s="108"/>
      <c r="C156" s="108"/>
      <c r="D156" s="151"/>
      <c r="E156" s="109"/>
      <c r="F156" s="108"/>
      <c r="G156" s="109"/>
      <c r="H156" s="109"/>
      <c r="I156" s="108"/>
      <c r="J156" s="1"/>
      <c r="K156" s="1"/>
      <c r="L156" s="1"/>
      <c r="M156" s="111"/>
      <c r="N156" s="113"/>
      <c r="O156" s="55"/>
      <c r="P156" s="113"/>
      <c r="Q156" s="1"/>
      <c r="R156" s="1"/>
      <c r="S156" s="84"/>
      <c r="T156" s="84"/>
      <c r="U156" s="1"/>
      <c r="V156" s="1"/>
      <c r="W156" s="1"/>
      <c r="X156" s="1"/>
      <c r="Y156" s="1"/>
      <c r="Z156" s="1"/>
      <c r="AA156" s="1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ht="15.75" customHeight="1">
      <c r="A157" s="1"/>
      <c r="B157" s="108"/>
      <c r="C157" s="108"/>
      <c r="D157" s="151"/>
      <c r="E157" s="109"/>
      <c r="F157" s="108"/>
      <c r="G157" s="109"/>
      <c r="H157" s="109"/>
      <c r="I157" s="108"/>
      <c r="J157" s="1"/>
      <c r="K157" s="1"/>
      <c r="L157" s="1"/>
      <c r="M157" s="111"/>
      <c r="N157" s="113"/>
      <c r="O157" s="55"/>
      <c r="P157" s="113"/>
      <c r="Q157" s="1"/>
      <c r="R157" s="1"/>
      <c r="S157" s="84"/>
      <c r="T157" s="84"/>
      <c r="U157" s="1"/>
      <c r="V157" s="1"/>
      <c r="W157" s="1"/>
      <c r="X157" s="1"/>
      <c r="Y157" s="1"/>
      <c r="Z157" s="1"/>
      <c r="AA157" s="1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ht="15.75" customHeight="1">
      <c r="A158" s="1"/>
      <c r="B158" s="108"/>
      <c r="C158" s="108"/>
      <c r="D158" s="151"/>
      <c r="E158" s="109"/>
      <c r="F158" s="108"/>
      <c r="G158" s="109"/>
      <c r="H158" s="109"/>
      <c r="I158" s="108"/>
      <c r="J158" s="1"/>
      <c r="K158" s="1"/>
      <c r="L158" s="1"/>
      <c r="M158" s="113"/>
      <c r="N158" s="113"/>
      <c r="O158" s="55"/>
      <c r="P158" s="113"/>
      <c r="Q158" s="1"/>
      <c r="R158" s="1"/>
      <c r="S158" s="84"/>
      <c r="T158" s="84"/>
      <c r="U158" s="1"/>
      <c r="V158" s="1"/>
      <c r="W158" s="1"/>
      <c r="X158" s="1"/>
      <c r="Y158" s="1"/>
      <c r="Z158" s="1"/>
      <c r="AA158" s="1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ht="15.75" customHeight="1">
      <c r="A159" s="1"/>
      <c r="B159" s="108"/>
      <c r="C159" s="108"/>
      <c r="D159" s="151"/>
      <c r="E159" s="109"/>
      <c r="F159" s="108"/>
      <c r="G159" s="109"/>
      <c r="H159" s="109"/>
      <c r="I159" s="108"/>
      <c r="J159" s="1"/>
      <c r="K159" s="1"/>
      <c r="L159" s="1"/>
      <c r="M159" s="113"/>
      <c r="N159" s="113"/>
      <c r="O159" s="55"/>
      <c r="P159" s="113"/>
      <c r="Q159" s="1"/>
      <c r="R159" s="1"/>
      <c r="S159" s="84"/>
      <c r="T159" s="84"/>
      <c r="U159" s="1"/>
      <c r="V159" s="1"/>
      <c r="W159" s="1"/>
      <c r="X159" s="1"/>
      <c r="Y159" s="1"/>
      <c r="Z159" s="1"/>
      <c r="AA159" s="1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ht="15.75" customHeight="1">
      <c r="A160" s="1"/>
      <c r="B160" s="108"/>
      <c r="C160" s="108"/>
      <c r="D160" s="151"/>
      <c r="E160" s="109"/>
      <c r="F160" s="108"/>
      <c r="G160" s="109"/>
      <c r="H160" s="109"/>
      <c r="I160" s="108"/>
      <c r="J160" s="1"/>
      <c r="K160" s="1"/>
      <c r="L160" s="1"/>
      <c r="M160" s="113"/>
      <c r="N160" s="113"/>
      <c r="O160" s="1"/>
      <c r="P160" s="113"/>
      <c r="Q160" s="1"/>
      <c r="R160" s="1"/>
      <c r="S160" s="84"/>
      <c r="T160" s="84"/>
      <c r="U160" s="1"/>
      <c r="V160" s="1"/>
      <c r="W160" s="1"/>
      <c r="X160" s="1"/>
      <c r="Y160" s="1"/>
      <c r="Z160" s="1"/>
      <c r="AA160" s="1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ht="15.75" customHeight="1">
      <c r="A212" s="1"/>
      <c r="B212" s="16"/>
      <c r="C212" s="16"/>
      <c r="D212" s="16"/>
      <c r="E212" s="16"/>
      <c r="F212" s="16"/>
      <c r="G212" s="16"/>
      <c r="H212" s="16"/>
      <c r="I212" s="1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ht="15.75" customHeight="1">
      <c r="A213" s="1"/>
      <c r="B213" s="109"/>
      <c r="C213" s="109"/>
      <c r="D213" s="151"/>
      <c r="E213" s="109"/>
      <c r="F213" s="108"/>
      <c r="G213" s="109"/>
      <c r="H213" s="109"/>
      <c r="I213" s="109"/>
      <c r="J213" s="1"/>
      <c r="K213" s="1"/>
      <c r="L213" s="1"/>
      <c r="M213" s="111"/>
      <c r="N213" s="111"/>
      <c r="O213" s="113"/>
      <c r="P213" s="11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ht="15.75" customHeight="1">
      <c r="A214" s="1"/>
      <c r="B214" s="108"/>
      <c r="C214" s="108"/>
      <c r="D214" s="151"/>
      <c r="E214" s="109"/>
      <c r="F214" s="108"/>
      <c r="G214" s="108"/>
      <c r="H214" s="109"/>
      <c r="I214" s="108"/>
      <c r="J214" s="1"/>
      <c r="K214" s="1"/>
      <c r="L214" s="1"/>
      <c r="M214" s="111"/>
      <c r="N214" s="111"/>
      <c r="O214" s="55"/>
      <c r="P214" s="111"/>
      <c r="Q214" s="1"/>
      <c r="R214" s="1"/>
      <c r="S214" s="84"/>
      <c r="T214" s="84"/>
      <c r="U214" s="1"/>
      <c r="V214" s="1"/>
      <c r="W214" s="1"/>
      <c r="X214" s="1"/>
      <c r="Y214" s="1"/>
      <c r="Z214" s="1"/>
      <c r="AA214" s="1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ht="15.75" customHeight="1">
      <c r="A215" s="1"/>
      <c r="B215" s="108"/>
      <c r="C215" s="108"/>
      <c r="D215" s="151"/>
      <c r="E215" s="109"/>
      <c r="F215" s="108"/>
      <c r="G215" s="109"/>
      <c r="H215" s="109"/>
      <c r="I215" s="108"/>
      <c r="J215" s="1"/>
      <c r="K215" s="1"/>
      <c r="L215" s="1"/>
      <c r="M215" s="111"/>
      <c r="N215" s="111"/>
      <c r="O215" s="55"/>
      <c r="P215" s="111"/>
      <c r="Q215" s="1"/>
      <c r="R215" s="1"/>
      <c r="S215" s="84"/>
      <c r="T215" s="84"/>
      <c r="U215" s="1"/>
      <c r="V215" s="1"/>
      <c r="W215" s="1"/>
      <c r="X215" s="1"/>
      <c r="Y215" s="1"/>
      <c r="Z215" s="1"/>
      <c r="AA215" s="1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ht="15.75" customHeight="1">
      <c r="A216" s="1"/>
      <c r="B216" s="108"/>
      <c r="C216" s="108"/>
      <c r="D216" s="151"/>
      <c r="E216" s="109"/>
      <c r="F216" s="108"/>
      <c r="G216" s="109"/>
      <c r="H216" s="109"/>
      <c r="I216" s="108"/>
      <c r="J216" s="1"/>
      <c r="K216" s="1"/>
      <c r="L216" s="1"/>
      <c r="M216" s="111"/>
      <c r="N216" s="111"/>
      <c r="O216" s="55"/>
      <c r="P216" s="111"/>
      <c r="Q216" s="1"/>
      <c r="R216" s="1"/>
      <c r="S216" s="84"/>
      <c r="T216" s="84"/>
      <c r="U216" s="1"/>
      <c r="V216" s="1"/>
      <c r="W216" s="1"/>
      <c r="X216" s="1"/>
      <c r="Y216" s="1"/>
      <c r="Z216" s="1"/>
      <c r="AA216" s="1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ht="15.75" customHeight="1">
      <c r="A217" s="1"/>
      <c r="B217" s="108"/>
      <c r="C217" s="108"/>
      <c r="D217" s="151"/>
      <c r="E217" s="109"/>
      <c r="F217" s="108"/>
      <c r="G217" s="109"/>
      <c r="H217" s="109"/>
      <c r="I217" s="108"/>
      <c r="J217" s="1"/>
      <c r="K217" s="1"/>
      <c r="L217" s="1"/>
      <c r="M217" s="111"/>
      <c r="N217" s="111"/>
      <c r="O217" s="55"/>
      <c r="P217" s="111"/>
      <c r="Q217" s="1"/>
      <c r="R217" s="1"/>
      <c r="S217" s="84"/>
      <c r="T217" s="84"/>
      <c r="U217" s="1"/>
      <c r="V217" s="1"/>
      <c r="W217" s="1"/>
      <c r="X217" s="1"/>
      <c r="Y217" s="1"/>
      <c r="Z217" s="1"/>
      <c r="AA217" s="1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ht="15.75" customHeight="1">
      <c r="A218" s="1"/>
      <c r="B218" s="108"/>
      <c r="C218" s="108"/>
      <c r="D218" s="151"/>
      <c r="E218" s="109"/>
      <c r="F218" s="108"/>
      <c r="G218" s="109"/>
      <c r="H218" s="109"/>
      <c r="I218" s="108"/>
      <c r="J218" s="1"/>
      <c r="K218" s="1"/>
      <c r="L218" s="1"/>
      <c r="M218" s="111"/>
      <c r="N218" s="111"/>
      <c r="O218" s="55"/>
      <c r="P218" s="111"/>
      <c r="Q218" s="1"/>
      <c r="R218" s="1"/>
      <c r="S218" s="84"/>
      <c r="T218" s="84"/>
      <c r="U218" s="1"/>
      <c r="V218" s="1"/>
      <c r="W218" s="1"/>
      <c r="X218" s="1"/>
      <c r="Y218" s="1"/>
      <c r="Z218" s="1"/>
      <c r="AA218" s="1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ht="15.75" customHeight="1">
      <c r="A219" s="1"/>
      <c r="B219" s="108"/>
      <c r="C219" s="108"/>
      <c r="D219" s="151"/>
      <c r="E219" s="109"/>
      <c r="F219" s="108"/>
      <c r="G219" s="109"/>
      <c r="H219" s="109"/>
      <c r="I219" s="108"/>
      <c r="J219" s="1"/>
      <c r="K219" s="1"/>
      <c r="L219" s="1"/>
      <c r="M219" s="111"/>
      <c r="N219" s="111"/>
      <c r="O219" s="55"/>
      <c r="P219" s="111"/>
      <c r="Q219" s="1"/>
      <c r="R219" s="1"/>
      <c r="S219" s="84"/>
      <c r="T219" s="84"/>
      <c r="U219" s="1"/>
      <c r="V219" s="1"/>
      <c r="W219" s="1"/>
      <c r="X219" s="1"/>
      <c r="Y219" s="1"/>
      <c r="Z219" s="1"/>
      <c r="AA219" s="1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ht="15.75" customHeight="1">
      <c r="A220" s="1"/>
      <c r="B220" s="108"/>
      <c r="C220" s="108"/>
      <c r="D220" s="151"/>
      <c r="E220" s="109"/>
      <c r="F220" s="108"/>
      <c r="G220" s="109"/>
      <c r="H220" s="109"/>
      <c r="I220" s="108"/>
      <c r="J220" s="1"/>
      <c r="K220" s="1"/>
      <c r="L220" s="1"/>
      <c r="M220" s="111"/>
      <c r="N220" s="111"/>
      <c r="O220" s="55"/>
      <c r="P220" s="111"/>
      <c r="Q220" s="1"/>
      <c r="R220" s="1"/>
      <c r="S220" s="84"/>
      <c r="T220" s="84"/>
      <c r="U220" s="1"/>
      <c r="V220" s="1"/>
      <c r="W220" s="1"/>
      <c r="X220" s="1"/>
      <c r="Y220" s="1"/>
      <c r="Z220" s="1"/>
      <c r="AA220" s="1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ht="15.75" customHeight="1">
      <c r="A221" s="1"/>
      <c r="B221" s="108"/>
      <c r="C221" s="108"/>
      <c r="D221" s="151"/>
      <c r="E221" s="109"/>
      <c r="F221" s="108"/>
      <c r="G221" s="109"/>
      <c r="H221" s="109"/>
      <c r="I221" s="108"/>
      <c r="J221" s="1"/>
      <c r="K221" s="1"/>
      <c r="L221" s="1"/>
      <c r="M221" s="111"/>
      <c r="N221" s="111"/>
      <c r="O221" s="55"/>
      <c r="P221" s="111"/>
      <c r="Q221" s="1"/>
      <c r="R221" s="1"/>
      <c r="S221" s="84"/>
      <c r="T221" s="84"/>
      <c r="U221" s="1"/>
      <c r="V221" s="1"/>
      <c r="W221" s="1"/>
      <c r="X221" s="1"/>
      <c r="Y221" s="1"/>
      <c r="Z221" s="1"/>
      <c r="AA221" s="1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ht="15.75" customHeight="1">
      <c r="A222" s="1"/>
      <c r="B222" s="108"/>
      <c r="C222" s="108"/>
      <c r="D222" s="151"/>
      <c r="E222" s="109"/>
      <c r="F222" s="108"/>
      <c r="G222" s="109"/>
      <c r="H222" s="109"/>
      <c r="I222" s="108"/>
      <c r="J222" s="1"/>
      <c r="K222" s="1"/>
      <c r="L222" s="1"/>
      <c r="M222" s="111"/>
      <c r="N222" s="111"/>
      <c r="O222" s="55"/>
      <c r="P222" s="111"/>
      <c r="Q222" s="1"/>
      <c r="R222" s="1"/>
      <c r="S222" s="84"/>
      <c r="T222" s="84"/>
      <c r="U222" s="1"/>
      <c r="V222" s="1"/>
      <c r="W222" s="1"/>
      <c r="X222" s="1"/>
      <c r="Y222" s="1"/>
      <c r="Z222" s="1"/>
      <c r="AA222" s="1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ht="15.75" customHeight="1">
      <c r="A223" s="1"/>
      <c r="B223" s="108"/>
      <c r="C223" s="108"/>
      <c r="D223" s="151"/>
      <c r="E223" s="109"/>
      <c r="F223" s="108"/>
      <c r="G223" s="109"/>
      <c r="H223" s="109"/>
      <c r="I223" s="108"/>
      <c r="J223" s="1"/>
      <c r="K223" s="1"/>
      <c r="L223" s="1"/>
      <c r="M223" s="111"/>
      <c r="N223" s="111"/>
      <c r="O223" s="55"/>
      <c r="P223" s="111"/>
      <c r="Q223" s="1"/>
      <c r="R223" s="1"/>
      <c r="S223" s="84"/>
      <c r="T223" s="84"/>
      <c r="U223" s="1"/>
      <c r="V223" s="1"/>
      <c r="W223" s="1"/>
      <c r="X223" s="1"/>
      <c r="Y223" s="1"/>
      <c r="Z223" s="1"/>
      <c r="AA223" s="1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ht="15.75" customHeight="1">
      <c r="A224" s="1"/>
      <c r="B224" s="108"/>
      <c r="C224" s="108"/>
      <c r="D224" s="151"/>
      <c r="E224" s="109"/>
      <c r="F224" s="108"/>
      <c r="G224" s="109"/>
      <c r="H224" s="109"/>
      <c r="I224" s="108"/>
      <c r="J224" s="1"/>
      <c r="K224" s="1"/>
      <c r="L224" s="1"/>
      <c r="M224" s="111"/>
      <c r="N224" s="111"/>
      <c r="O224" s="55"/>
      <c r="P224" s="111"/>
      <c r="Q224" s="1"/>
      <c r="R224" s="1"/>
      <c r="S224" s="84"/>
      <c r="T224" s="84"/>
      <c r="U224" s="1"/>
      <c r="V224" s="1"/>
      <c r="W224" s="1"/>
      <c r="X224" s="1"/>
      <c r="Y224" s="1"/>
      <c r="Z224" s="1"/>
      <c r="AA224" s="1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ht="15.75" customHeight="1">
      <c r="A225" s="1"/>
      <c r="B225" s="108"/>
      <c r="C225" s="108"/>
      <c r="D225" s="151"/>
      <c r="E225" s="109"/>
      <c r="F225" s="108"/>
      <c r="G225" s="109"/>
      <c r="H225" s="109"/>
      <c r="I225" s="108"/>
      <c r="J225" s="1"/>
      <c r="K225" s="1"/>
      <c r="L225" s="1"/>
      <c r="M225" s="113"/>
      <c r="N225" s="113"/>
      <c r="O225" s="1"/>
      <c r="P225" s="113"/>
      <c r="Q225" s="1"/>
      <c r="R225" s="1"/>
      <c r="S225" s="84"/>
      <c r="T225" s="84"/>
      <c r="U225" s="1"/>
      <c r="V225" s="1"/>
      <c r="W225" s="1"/>
      <c r="X225" s="1"/>
      <c r="Y225" s="1"/>
      <c r="Z225" s="1"/>
      <c r="AA225" s="1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ht="15.75" customHeight="1">
      <c r="A226" s="1"/>
      <c r="B226" s="108"/>
      <c r="C226" s="108"/>
      <c r="D226" s="151"/>
      <c r="E226" s="109"/>
      <c r="F226" s="108"/>
      <c r="G226" s="109"/>
      <c r="H226" s="109"/>
      <c r="I226" s="108"/>
      <c r="J226" s="1"/>
      <c r="K226" s="1"/>
      <c r="L226" s="1"/>
      <c r="M226" s="113"/>
      <c r="N226" s="113"/>
      <c r="O226" s="1"/>
      <c r="P226" s="113"/>
      <c r="Q226" s="1"/>
      <c r="R226" s="1"/>
      <c r="S226" s="84"/>
      <c r="T226" s="84"/>
      <c r="U226" s="1"/>
      <c r="V226" s="1"/>
      <c r="W226" s="1"/>
      <c r="X226" s="1"/>
      <c r="Y226" s="1"/>
      <c r="Z226" s="1"/>
      <c r="AA226" s="1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ht="15.75" customHeight="1">
      <c r="A227" s="1"/>
      <c r="B227" s="108"/>
      <c r="C227" s="108"/>
      <c r="D227" s="151"/>
      <c r="E227" s="109"/>
      <c r="F227" s="108"/>
      <c r="G227" s="109"/>
      <c r="H227" s="109"/>
      <c r="I227" s="108"/>
      <c r="J227" s="1"/>
      <c r="K227" s="1"/>
      <c r="L227" s="1"/>
      <c r="M227" s="113"/>
      <c r="N227" s="113"/>
      <c r="O227" s="1"/>
      <c r="P227" s="113"/>
      <c r="Q227" s="1"/>
      <c r="R227" s="1"/>
      <c r="S227" s="84"/>
      <c r="T227" s="84"/>
      <c r="U227" s="1"/>
      <c r="V227" s="1"/>
      <c r="W227" s="1"/>
      <c r="X227" s="1"/>
      <c r="Y227" s="1"/>
      <c r="Z227" s="1"/>
      <c r="AA227" s="1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ht="15.75" customHeight="1">
      <c r="A228" s="1"/>
      <c r="B228" s="108"/>
      <c r="C228" s="108"/>
      <c r="D228" s="151"/>
      <c r="E228" s="109"/>
      <c r="F228" s="108"/>
      <c r="G228" s="109"/>
      <c r="H228" s="109"/>
      <c r="I228" s="108"/>
      <c r="J228" s="1"/>
      <c r="K228" s="1"/>
      <c r="L228" s="1"/>
      <c r="M228" s="113"/>
      <c r="N228" s="113"/>
      <c r="O228" s="55"/>
      <c r="P228" s="113"/>
      <c r="Q228" s="1"/>
      <c r="R228" s="1"/>
      <c r="S228" s="84"/>
      <c r="T228" s="84"/>
      <c r="U228" s="1"/>
      <c r="V228" s="1"/>
      <c r="W228" s="1"/>
      <c r="X228" s="1"/>
      <c r="Y228" s="1"/>
      <c r="Z228" s="1"/>
      <c r="AA228" s="1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ht="15.75" customHeight="1">
      <c r="A229" s="1"/>
      <c r="B229" s="108"/>
      <c r="C229" s="108"/>
      <c r="D229" s="151"/>
      <c r="E229" s="109"/>
      <c r="F229" s="108"/>
      <c r="G229" s="109"/>
      <c r="H229" s="109"/>
      <c r="I229" s="108"/>
      <c r="J229" s="1"/>
      <c r="K229" s="1"/>
      <c r="L229" s="1"/>
      <c r="M229" s="111"/>
      <c r="N229" s="113"/>
      <c r="O229" s="55"/>
      <c r="P229" s="113"/>
      <c r="Q229" s="1"/>
      <c r="R229" s="1"/>
      <c r="S229" s="84"/>
      <c r="T229" s="84"/>
      <c r="U229" s="1"/>
      <c r="V229" s="1"/>
      <c r="W229" s="1"/>
      <c r="X229" s="1"/>
      <c r="Y229" s="1"/>
      <c r="Z229" s="1"/>
      <c r="AA229" s="1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ht="15.75" customHeight="1">
      <c r="A230" s="1"/>
      <c r="B230" s="108"/>
      <c r="C230" s="108"/>
      <c r="D230" s="151"/>
      <c r="E230" s="109"/>
      <c r="F230" s="108"/>
      <c r="G230" s="109"/>
      <c r="H230" s="109"/>
      <c r="I230" s="108"/>
      <c r="J230" s="1"/>
      <c r="K230" s="1"/>
      <c r="L230" s="1"/>
      <c r="M230" s="111"/>
      <c r="N230" s="113"/>
      <c r="O230" s="55"/>
      <c r="P230" s="113"/>
      <c r="Q230" s="1"/>
      <c r="R230" s="1"/>
      <c r="S230" s="84"/>
      <c r="T230" s="84"/>
      <c r="U230" s="1"/>
      <c r="V230" s="1"/>
      <c r="W230" s="1"/>
      <c r="X230" s="1"/>
      <c r="Y230" s="1"/>
      <c r="Z230" s="1"/>
      <c r="AA230" s="1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ht="15.75" customHeight="1">
      <c r="A231" s="1"/>
      <c r="B231" s="108"/>
      <c r="C231" s="108"/>
      <c r="D231" s="151"/>
      <c r="E231" s="109"/>
      <c r="F231" s="108"/>
      <c r="G231" s="109"/>
      <c r="H231" s="109"/>
      <c r="I231" s="108"/>
      <c r="J231" s="1"/>
      <c r="K231" s="1"/>
      <c r="L231" s="1"/>
      <c r="M231" s="111"/>
      <c r="N231" s="113"/>
      <c r="O231" s="55"/>
      <c r="P231" s="113"/>
      <c r="Q231" s="1"/>
      <c r="R231" s="1"/>
      <c r="S231" s="84"/>
      <c r="T231" s="84"/>
      <c r="U231" s="1"/>
      <c r="V231" s="1"/>
      <c r="W231" s="1"/>
      <c r="X231" s="1"/>
      <c r="Y231" s="1"/>
      <c r="Z231" s="1"/>
      <c r="AA231" s="1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ht="15.75" customHeight="1">
      <c r="A232" s="1"/>
      <c r="B232" s="108"/>
      <c r="C232" s="108"/>
      <c r="D232" s="151"/>
      <c r="E232" s="109"/>
      <c r="F232" s="108"/>
      <c r="G232" s="109"/>
      <c r="H232" s="109"/>
      <c r="I232" s="108"/>
      <c r="J232" s="1"/>
      <c r="K232" s="1"/>
      <c r="L232" s="1"/>
      <c r="M232" s="111"/>
      <c r="N232" s="113"/>
      <c r="O232" s="55"/>
      <c r="P232" s="113"/>
      <c r="Q232" s="1"/>
      <c r="R232" s="1"/>
      <c r="S232" s="84"/>
      <c r="T232" s="84"/>
      <c r="U232" s="1"/>
      <c r="V232" s="1"/>
      <c r="W232" s="1"/>
      <c r="X232" s="1"/>
      <c r="Y232" s="1"/>
      <c r="Z232" s="1"/>
      <c r="AA232" s="1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ht="15.75" customHeight="1">
      <c r="A233" s="1"/>
      <c r="B233" s="108"/>
      <c r="C233" s="108"/>
      <c r="D233" s="151"/>
      <c r="E233" s="109"/>
      <c r="F233" s="108"/>
      <c r="G233" s="109"/>
      <c r="H233" s="109"/>
      <c r="I233" s="108"/>
      <c r="J233" s="1"/>
      <c r="K233" s="1"/>
      <c r="L233" s="1"/>
      <c r="M233" s="111"/>
      <c r="N233" s="113"/>
      <c r="O233" s="55"/>
      <c r="P233" s="113"/>
      <c r="Q233" s="1"/>
      <c r="R233" s="1"/>
      <c r="S233" s="84"/>
      <c r="T233" s="84"/>
      <c r="U233" s="1"/>
      <c r="V233" s="1"/>
      <c r="W233" s="1"/>
      <c r="X233" s="1"/>
      <c r="Y233" s="1"/>
      <c r="Z233" s="1"/>
      <c r="AA233" s="1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ht="15.75" customHeight="1">
      <c r="A234" s="1"/>
      <c r="B234" s="108"/>
      <c r="C234" s="108"/>
      <c r="D234" s="151"/>
      <c r="E234" s="109"/>
      <c r="F234" s="108"/>
      <c r="G234" s="109"/>
      <c r="H234" s="109"/>
      <c r="I234" s="108"/>
      <c r="J234" s="1"/>
      <c r="K234" s="1"/>
      <c r="L234" s="1"/>
      <c r="M234" s="111"/>
      <c r="N234" s="113"/>
      <c r="O234" s="55"/>
      <c r="P234" s="113"/>
      <c r="Q234" s="1"/>
      <c r="R234" s="1"/>
      <c r="S234" s="84"/>
      <c r="T234" s="84"/>
      <c r="U234" s="1"/>
      <c r="V234" s="1"/>
      <c r="W234" s="1"/>
      <c r="X234" s="1"/>
      <c r="Y234" s="1"/>
      <c r="Z234" s="1"/>
      <c r="AA234" s="1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ht="15.75" customHeight="1">
      <c r="A235" s="1"/>
      <c r="B235" s="108"/>
      <c r="C235" s="108"/>
      <c r="D235" s="151"/>
      <c r="E235" s="109"/>
      <c r="F235" s="108"/>
      <c r="G235" s="109"/>
      <c r="H235" s="109"/>
      <c r="I235" s="108"/>
      <c r="J235" s="1"/>
      <c r="K235" s="1"/>
      <c r="L235" s="1"/>
      <c r="M235" s="111"/>
      <c r="N235" s="113"/>
      <c r="O235" s="55"/>
      <c r="P235" s="113"/>
      <c r="Q235" s="1"/>
      <c r="R235" s="1"/>
      <c r="S235" s="84"/>
      <c r="T235" s="84"/>
      <c r="U235" s="1"/>
      <c r="V235" s="1"/>
      <c r="W235" s="1"/>
      <c r="X235" s="1"/>
      <c r="Y235" s="1"/>
      <c r="Z235" s="1"/>
      <c r="AA235" s="1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ht="15.75" customHeight="1">
      <c r="A236" s="1"/>
      <c r="B236" s="108"/>
      <c r="C236" s="108"/>
      <c r="D236" s="151"/>
      <c r="E236" s="109"/>
      <c r="F236" s="108"/>
      <c r="G236" s="109"/>
      <c r="H236" s="109"/>
      <c r="I236" s="108"/>
      <c r="J236" s="1"/>
      <c r="K236" s="1"/>
      <c r="L236" s="1"/>
      <c r="M236" s="111"/>
      <c r="N236" s="113"/>
      <c r="O236" s="55"/>
      <c r="P236" s="113"/>
      <c r="Q236" s="1"/>
      <c r="R236" s="1"/>
      <c r="S236" s="84"/>
      <c r="T236" s="84"/>
      <c r="U236" s="1"/>
      <c r="V236" s="1"/>
      <c r="W236" s="1"/>
      <c r="X236" s="1"/>
      <c r="Y236" s="1"/>
      <c r="Z236" s="1"/>
      <c r="AA236" s="1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ht="15.75" customHeight="1">
      <c r="A237" s="1"/>
      <c r="B237" s="108"/>
      <c r="C237" s="108"/>
      <c r="D237" s="151"/>
      <c r="E237" s="109"/>
      <c r="F237" s="108"/>
      <c r="G237" s="109"/>
      <c r="H237" s="109"/>
      <c r="I237" s="108"/>
      <c r="J237" s="1"/>
      <c r="K237" s="1"/>
      <c r="L237" s="1"/>
      <c r="M237" s="111"/>
      <c r="N237" s="113"/>
      <c r="O237" s="55"/>
      <c r="P237" s="113"/>
      <c r="Q237" s="1"/>
      <c r="R237" s="1"/>
      <c r="S237" s="84"/>
      <c r="T237" s="84"/>
      <c r="U237" s="1"/>
      <c r="V237" s="1"/>
      <c r="W237" s="1"/>
      <c r="X237" s="1"/>
      <c r="Y237" s="1"/>
      <c r="Z237" s="1"/>
      <c r="AA237" s="1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ht="15.75" customHeight="1">
      <c r="A238" s="1"/>
      <c r="B238" s="108"/>
      <c r="C238" s="108"/>
      <c r="D238" s="151"/>
      <c r="E238" s="109"/>
      <c r="F238" s="108"/>
      <c r="G238" s="109"/>
      <c r="H238" s="109"/>
      <c r="I238" s="108"/>
      <c r="J238" s="1"/>
      <c r="K238" s="1"/>
      <c r="L238" s="1"/>
      <c r="M238" s="113"/>
      <c r="N238" s="113"/>
      <c r="O238" s="55"/>
      <c r="P238" s="113"/>
      <c r="Q238" s="1"/>
      <c r="R238" s="1"/>
      <c r="S238" s="84"/>
      <c r="T238" s="84"/>
      <c r="U238" s="1"/>
      <c r="V238" s="1"/>
      <c r="W238" s="1"/>
      <c r="X238" s="1"/>
      <c r="Y238" s="1"/>
      <c r="Z238" s="1"/>
      <c r="AA238" s="1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ht="15.75" customHeight="1">
      <c r="A239" s="1"/>
      <c r="B239" s="108"/>
      <c r="C239" s="108"/>
      <c r="D239" s="151"/>
      <c r="E239" s="109"/>
      <c r="F239" s="108"/>
      <c r="G239" s="109"/>
      <c r="H239" s="109"/>
      <c r="I239" s="108"/>
      <c r="J239" s="1"/>
      <c r="K239" s="1"/>
      <c r="L239" s="1"/>
      <c r="M239" s="113"/>
      <c r="N239" s="113"/>
      <c r="O239" s="55"/>
      <c r="P239" s="113"/>
      <c r="Q239" s="1"/>
      <c r="R239" s="1"/>
      <c r="S239" s="84"/>
      <c r="T239" s="84"/>
      <c r="U239" s="1"/>
      <c r="V239" s="1"/>
      <c r="W239" s="1"/>
      <c r="X239" s="1"/>
      <c r="Y239" s="1"/>
      <c r="Z239" s="1"/>
      <c r="AA239" s="1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ht="15.75" customHeight="1">
      <c r="A240" s="1"/>
      <c r="B240" s="108"/>
      <c r="C240" s="108"/>
      <c r="D240" s="151"/>
      <c r="E240" s="109"/>
      <c r="F240" s="108"/>
      <c r="G240" s="109"/>
      <c r="H240" s="109"/>
      <c r="I240" s="108"/>
      <c r="J240" s="1"/>
      <c r="K240" s="1"/>
      <c r="L240" s="1"/>
      <c r="M240" s="113"/>
      <c r="N240" s="113"/>
      <c r="O240" s="1"/>
      <c r="P240" s="113"/>
      <c r="Q240" s="1"/>
      <c r="R240" s="1"/>
      <c r="S240" s="84"/>
      <c r="T240" s="84"/>
      <c r="U240" s="1"/>
      <c r="V240" s="1"/>
      <c r="W240" s="1"/>
      <c r="X240" s="1"/>
      <c r="Y240" s="1"/>
      <c r="Z240" s="1"/>
      <c r="AA240" s="1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ht="15.75" customHeight="1">
      <c r="A292" s="1"/>
      <c r="B292" s="16"/>
      <c r="C292" s="16"/>
      <c r="D292" s="16"/>
      <c r="E292" s="16"/>
      <c r="F292" s="16"/>
      <c r="G292" s="16"/>
      <c r="H292" s="16"/>
      <c r="I292" s="1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ht="15.75" customHeight="1">
      <c r="A293" s="1"/>
      <c r="B293" s="109"/>
      <c r="C293" s="109"/>
      <c r="D293" s="151"/>
      <c r="E293" s="109"/>
      <c r="F293" s="108"/>
      <c r="G293" s="109"/>
      <c r="H293" s="109"/>
      <c r="I293" s="109"/>
      <c r="J293" s="1"/>
      <c r="K293" s="1"/>
      <c r="L293" s="1"/>
      <c r="M293" s="111"/>
      <c r="N293" s="111"/>
      <c r="O293" s="113"/>
      <c r="P293" s="11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ht="15.75" customHeight="1">
      <c r="A294" s="1"/>
      <c r="B294" s="108"/>
      <c r="C294" s="108"/>
      <c r="D294" s="151"/>
      <c r="E294" s="109"/>
      <c r="F294" s="108"/>
      <c r="G294" s="108"/>
      <c r="H294" s="109"/>
      <c r="I294" s="108"/>
      <c r="J294" s="1"/>
      <c r="K294" s="1"/>
      <c r="L294" s="1"/>
      <c r="M294" s="111"/>
      <c r="N294" s="111"/>
      <c r="O294" s="55"/>
      <c r="P294" s="111"/>
      <c r="Q294" s="1"/>
      <c r="R294" s="1"/>
      <c r="S294" s="84"/>
      <c r="T294" s="84"/>
      <c r="U294" s="1"/>
      <c r="V294" s="1"/>
      <c r="W294" s="1"/>
      <c r="X294" s="1"/>
      <c r="Y294" s="1"/>
      <c r="Z294" s="1"/>
      <c r="AA294" s="1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ht="15.75" customHeight="1">
      <c r="A295" s="1"/>
      <c r="B295" s="108"/>
      <c r="C295" s="108"/>
      <c r="D295" s="151"/>
      <c r="E295" s="109"/>
      <c r="F295" s="108"/>
      <c r="G295" s="109"/>
      <c r="H295" s="109"/>
      <c r="I295" s="108"/>
      <c r="J295" s="1"/>
      <c r="K295" s="1"/>
      <c r="L295" s="1"/>
      <c r="M295" s="111"/>
      <c r="N295" s="111"/>
      <c r="O295" s="55"/>
      <c r="P295" s="111"/>
      <c r="Q295" s="1"/>
      <c r="R295" s="1"/>
      <c r="S295" s="84"/>
      <c r="T295" s="84"/>
      <c r="U295" s="1"/>
      <c r="V295" s="1"/>
      <c r="W295" s="1"/>
      <c r="X295" s="1"/>
      <c r="Y295" s="1"/>
      <c r="Z295" s="1"/>
      <c r="AA295" s="1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ht="15.75" customHeight="1">
      <c r="A296" s="1"/>
      <c r="B296" s="108"/>
      <c r="C296" s="108"/>
      <c r="D296" s="151"/>
      <c r="E296" s="109"/>
      <c r="F296" s="108"/>
      <c r="G296" s="109"/>
      <c r="H296" s="109"/>
      <c r="I296" s="108"/>
      <c r="J296" s="1"/>
      <c r="K296" s="1"/>
      <c r="L296" s="1"/>
      <c r="M296" s="111"/>
      <c r="N296" s="111"/>
      <c r="O296" s="55"/>
      <c r="P296" s="111"/>
      <c r="Q296" s="1"/>
      <c r="R296" s="1"/>
      <c r="S296" s="84"/>
      <c r="T296" s="84"/>
      <c r="U296" s="1"/>
      <c r="V296" s="1"/>
      <c r="W296" s="1"/>
      <c r="X296" s="1"/>
      <c r="Y296" s="1"/>
      <c r="Z296" s="1"/>
      <c r="AA296" s="1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ht="15.75" customHeight="1">
      <c r="A297" s="1"/>
      <c r="B297" s="108"/>
      <c r="C297" s="108"/>
      <c r="D297" s="151"/>
      <c r="E297" s="109"/>
      <c r="F297" s="108"/>
      <c r="G297" s="109"/>
      <c r="H297" s="109"/>
      <c r="I297" s="108"/>
      <c r="J297" s="1"/>
      <c r="K297" s="1"/>
      <c r="L297" s="1"/>
      <c r="M297" s="111"/>
      <c r="N297" s="111"/>
      <c r="O297" s="55"/>
      <c r="P297" s="111"/>
      <c r="Q297" s="1"/>
      <c r="R297" s="1"/>
      <c r="S297" s="84"/>
      <c r="T297" s="84"/>
      <c r="U297" s="1"/>
      <c r="V297" s="1"/>
      <c r="W297" s="1"/>
      <c r="X297" s="1"/>
      <c r="Y297" s="1"/>
      <c r="Z297" s="1"/>
      <c r="AA297" s="1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ht="15.75" customHeight="1">
      <c r="A298" s="1"/>
      <c r="B298" s="108"/>
      <c r="C298" s="108"/>
      <c r="D298" s="151"/>
      <c r="E298" s="109"/>
      <c r="F298" s="108"/>
      <c r="G298" s="109"/>
      <c r="H298" s="109"/>
      <c r="I298" s="108"/>
      <c r="J298" s="1"/>
      <c r="K298" s="1"/>
      <c r="L298" s="1"/>
      <c r="M298" s="111"/>
      <c r="N298" s="111"/>
      <c r="O298" s="55"/>
      <c r="P298" s="111"/>
      <c r="Q298" s="1"/>
      <c r="R298" s="1"/>
      <c r="S298" s="84"/>
      <c r="T298" s="84"/>
      <c r="U298" s="1"/>
      <c r="V298" s="1"/>
      <c r="W298" s="1"/>
      <c r="X298" s="1"/>
      <c r="Y298" s="1"/>
      <c r="Z298" s="1"/>
      <c r="AA298" s="1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ht="15.75" customHeight="1">
      <c r="A299" s="1"/>
      <c r="B299" s="108"/>
      <c r="C299" s="108"/>
      <c r="D299" s="151"/>
      <c r="E299" s="109"/>
      <c r="F299" s="108"/>
      <c r="G299" s="109"/>
      <c r="H299" s="109"/>
      <c r="I299" s="108"/>
      <c r="J299" s="1"/>
      <c r="K299" s="1"/>
      <c r="L299" s="1"/>
      <c r="M299" s="111"/>
      <c r="N299" s="111"/>
      <c r="O299" s="55"/>
      <c r="P299" s="111"/>
      <c r="Q299" s="1"/>
      <c r="R299" s="1"/>
      <c r="S299" s="84"/>
      <c r="T299" s="84"/>
      <c r="U299" s="1"/>
      <c r="V299" s="1"/>
      <c r="W299" s="1"/>
      <c r="X299" s="1"/>
      <c r="Y299" s="1"/>
      <c r="Z299" s="1"/>
      <c r="AA299" s="1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ht="15.75" customHeight="1">
      <c r="A300" s="1"/>
      <c r="B300" s="108"/>
      <c r="C300" s="108"/>
      <c r="D300" s="151"/>
      <c r="E300" s="109"/>
      <c r="F300" s="108"/>
      <c r="G300" s="109"/>
      <c r="H300" s="109"/>
      <c r="I300" s="108"/>
      <c r="J300" s="1"/>
      <c r="K300" s="1"/>
      <c r="L300" s="1"/>
      <c r="M300" s="111"/>
      <c r="N300" s="111"/>
      <c r="O300" s="55"/>
      <c r="P300" s="111"/>
      <c r="Q300" s="1"/>
      <c r="R300" s="1"/>
      <c r="S300" s="84"/>
      <c r="T300" s="84"/>
      <c r="U300" s="1"/>
      <c r="V300" s="1"/>
      <c r="W300" s="1"/>
      <c r="X300" s="1"/>
      <c r="Y300" s="1"/>
      <c r="Z300" s="1"/>
      <c r="AA300" s="1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ht="15.75" customHeight="1">
      <c r="A301" s="1"/>
      <c r="B301" s="108"/>
      <c r="C301" s="108"/>
      <c r="D301" s="151"/>
      <c r="E301" s="109"/>
      <c r="F301" s="108"/>
      <c r="G301" s="109"/>
      <c r="H301" s="109"/>
      <c r="I301" s="108"/>
      <c r="J301" s="1"/>
      <c r="K301" s="1"/>
      <c r="L301" s="1"/>
      <c r="M301" s="111"/>
      <c r="N301" s="111"/>
      <c r="O301" s="55"/>
      <c r="P301" s="111"/>
      <c r="Q301" s="1"/>
      <c r="R301" s="1"/>
      <c r="S301" s="84"/>
      <c r="T301" s="84"/>
      <c r="U301" s="1"/>
      <c r="V301" s="1"/>
      <c r="W301" s="1"/>
      <c r="X301" s="1"/>
      <c r="Y301" s="1"/>
      <c r="Z301" s="1"/>
      <c r="AA301" s="1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ht="15.75" customHeight="1">
      <c r="A302" s="1"/>
      <c r="B302" s="108"/>
      <c r="C302" s="108"/>
      <c r="D302" s="151"/>
      <c r="E302" s="109"/>
      <c r="F302" s="108"/>
      <c r="G302" s="109"/>
      <c r="H302" s="109"/>
      <c r="I302" s="108"/>
      <c r="J302" s="1"/>
      <c r="K302" s="1"/>
      <c r="L302" s="1"/>
      <c r="M302" s="111"/>
      <c r="N302" s="111"/>
      <c r="O302" s="55"/>
      <c r="P302" s="111"/>
      <c r="Q302" s="1"/>
      <c r="R302" s="1"/>
      <c r="S302" s="84"/>
      <c r="T302" s="84"/>
      <c r="U302" s="1"/>
      <c r="V302" s="1"/>
      <c r="W302" s="1"/>
      <c r="X302" s="1"/>
      <c r="Y302" s="1"/>
      <c r="Z302" s="1"/>
      <c r="AA302" s="1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ht="15.75" customHeight="1">
      <c r="A303" s="1"/>
      <c r="B303" s="108"/>
      <c r="C303" s="108"/>
      <c r="D303" s="151"/>
      <c r="E303" s="109"/>
      <c r="F303" s="108"/>
      <c r="G303" s="109"/>
      <c r="H303" s="109"/>
      <c r="I303" s="108"/>
      <c r="J303" s="1"/>
      <c r="K303" s="1"/>
      <c r="L303" s="1"/>
      <c r="M303" s="111"/>
      <c r="N303" s="111"/>
      <c r="O303" s="55"/>
      <c r="P303" s="111"/>
      <c r="Q303" s="1"/>
      <c r="R303" s="1"/>
      <c r="S303" s="84"/>
      <c r="T303" s="84"/>
      <c r="U303" s="1"/>
      <c r="V303" s="1"/>
      <c r="W303" s="1"/>
      <c r="X303" s="1"/>
      <c r="Y303" s="1"/>
      <c r="Z303" s="1"/>
      <c r="AA303" s="1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ht="15.75" customHeight="1">
      <c r="A304" s="1"/>
      <c r="B304" s="108"/>
      <c r="C304" s="108"/>
      <c r="D304" s="151"/>
      <c r="E304" s="109"/>
      <c r="F304" s="108"/>
      <c r="G304" s="109"/>
      <c r="H304" s="109"/>
      <c r="I304" s="108"/>
      <c r="J304" s="1"/>
      <c r="K304" s="1"/>
      <c r="L304" s="1"/>
      <c r="M304" s="111"/>
      <c r="N304" s="111"/>
      <c r="O304" s="55"/>
      <c r="P304" s="111"/>
      <c r="Q304" s="1"/>
      <c r="R304" s="1"/>
      <c r="S304" s="84"/>
      <c r="T304" s="84"/>
      <c r="U304" s="1"/>
      <c r="V304" s="1"/>
      <c r="W304" s="1"/>
      <c r="X304" s="1"/>
      <c r="Y304" s="1"/>
      <c r="Z304" s="1"/>
      <c r="AA304" s="1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ht="15.75" customHeight="1">
      <c r="A305" s="1"/>
      <c r="B305" s="108"/>
      <c r="C305" s="108"/>
      <c r="D305" s="151"/>
      <c r="E305" s="109"/>
      <c r="F305" s="108"/>
      <c r="G305" s="109"/>
      <c r="H305" s="109"/>
      <c r="I305" s="108"/>
      <c r="J305" s="1"/>
      <c r="K305" s="1"/>
      <c r="L305" s="1"/>
      <c r="M305" s="113"/>
      <c r="N305" s="113"/>
      <c r="O305" s="1"/>
      <c r="P305" s="113"/>
      <c r="Q305" s="1"/>
      <c r="R305" s="1"/>
      <c r="S305" s="84"/>
      <c r="T305" s="84"/>
      <c r="U305" s="1"/>
      <c r="V305" s="1"/>
      <c r="W305" s="1"/>
      <c r="X305" s="1"/>
      <c r="Y305" s="1"/>
      <c r="Z305" s="1"/>
      <c r="AA305" s="1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ht="15.75" customHeight="1">
      <c r="A306" s="1"/>
      <c r="B306" s="108"/>
      <c r="C306" s="108"/>
      <c r="D306" s="151"/>
      <c r="E306" s="109"/>
      <c r="F306" s="108"/>
      <c r="G306" s="109"/>
      <c r="H306" s="109"/>
      <c r="I306" s="108"/>
      <c r="J306" s="1"/>
      <c r="K306" s="1"/>
      <c r="L306" s="1"/>
      <c r="M306" s="113"/>
      <c r="N306" s="113"/>
      <c r="O306" s="1"/>
      <c r="P306" s="113"/>
      <c r="Q306" s="1"/>
      <c r="R306" s="1"/>
      <c r="S306" s="84"/>
      <c r="T306" s="84"/>
      <c r="U306" s="1"/>
      <c r="V306" s="1"/>
      <c r="W306" s="1"/>
      <c r="X306" s="1"/>
      <c r="Y306" s="1"/>
      <c r="Z306" s="1"/>
      <c r="AA306" s="1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ht="15.75" customHeight="1">
      <c r="A307" s="1"/>
      <c r="B307" s="108"/>
      <c r="C307" s="108"/>
      <c r="D307" s="151"/>
      <c r="E307" s="109"/>
      <c r="F307" s="108"/>
      <c r="G307" s="109"/>
      <c r="H307" s="109"/>
      <c r="I307" s="108"/>
      <c r="J307" s="1"/>
      <c r="K307" s="1"/>
      <c r="L307" s="1"/>
      <c r="M307" s="113"/>
      <c r="N307" s="113"/>
      <c r="O307" s="1"/>
      <c r="P307" s="113"/>
      <c r="Q307" s="1"/>
      <c r="R307" s="1"/>
      <c r="S307" s="84"/>
      <c r="T307" s="84"/>
      <c r="U307" s="1"/>
      <c r="V307" s="1"/>
      <c r="W307" s="1"/>
      <c r="X307" s="1"/>
      <c r="Y307" s="1"/>
      <c r="Z307" s="1"/>
      <c r="AA307" s="1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ht="15.75" customHeight="1">
      <c r="A308" s="1"/>
      <c r="B308" s="108"/>
      <c r="C308" s="108"/>
      <c r="D308" s="151"/>
      <c r="E308" s="109"/>
      <c r="F308" s="108"/>
      <c r="G308" s="109"/>
      <c r="H308" s="109"/>
      <c r="I308" s="108"/>
      <c r="J308" s="1"/>
      <c r="K308" s="1"/>
      <c r="L308" s="1"/>
      <c r="M308" s="113"/>
      <c r="N308" s="113"/>
      <c r="O308" s="55"/>
      <c r="P308" s="113"/>
      <c r="Q308" s="1"/>
      <c r="R308" s="1"/>
      <c r="S308" s="84"/>
      <c r="T308" s="84"/>
      <c r="U308" s="1"/>
      <c r="V308" s="1"/>
      <c r="W308" s="1"/>
      <c r="X308" s="1"/>
      <c r="Y308" s="1"/>
      <c r="Z308" s="1"/>
      <c r="AA308" s="1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ht="15.75" customHeight="1">
      <c r="A309" s="1"/>
      <c r="B309" s="108"/>
      <c r="C309" s="108"/>
      <c r="D309" s="151"/>
      <c r="E309" s="109"/>
      <c r="F309" s="108"/>
      <c r="G309" s="109"/>
      <c r="H309" s="109"/>
      <c r="I309" s="108"/>
      <c r="J309" s="1"/>
      <c r="K309" s="1"/>
      <c r="L309" s="1"/>
      <c r="M309" s="111"/>
      <c r="N309" s="113"/>
      <c r="O309" s="55"/>
      <c r="P309" s="113"/>
      <c r="Q309" s="1"/>
      <c r="R309" s="1"/>
      <c r="S309" s="84"/>
      <c r="T309" s="84"/>
      <c r="U309" s="1"/>
      <c r="V309" s="1"/>
      <c r="W309" s="1"/>
      <c r="X309" s="1"/>
      <c r="Y309" s="1"/>
      <c r="Z309" s="1"/>
      <c r="AA309" s="1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ht="15.75" customHeight="1">
      <c r="A310" s="1"/>
      <c r="B310" s="108"/>
      <c r="C310" s="108"/>
      <c r="D310" s="151"/>
      <c r="E310" s="109"/>
      <c r="F310" s="108"/>
      <c r="G310" s="109"/>
      <c r="H310" s="109"/>
      <c r="I310" s="108"/>
      <c r="J310" s="1"/>
      <c r="K310" s="1"/>
      <c r="L310" s="1"/>
      <c r="M310" s="111"/>
      <c r="N310" s="113"/>
      <c r="O310" s="55"/>
      <c r="P310" s="113"/>
      <c r="Q310" s="1"/>
      <c r="R310" s="1"/>
      <c r="S310" s="84"/>
      <c r="T310" s="84"/>
      <c r="U310" s="1"/>
      <c r="V310" s="1"/>
      <c r="W310" s="1"/>
      <c r="X310" s="1"/>
      <c r="Y310" s="1"/>
      <c r="Z310" s="1"/>
      <c r="AA310" s="1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ht="15.75" customHeight="1">
      <c r="A311" s="1"/>
      <c r="B311" s="108"/>
      <c r="C311" s="108"/>
      <c r="D311" s="151"/>
      <c r="E311" s="109"/>
      <c r="F311" s="108"/>
      <c r="G311" s="109"/>
      <c r="H311" s="109"/>
      <c r="I311" s="108"/>
      <c r="J311" s="1"/>
      <c r="K311" s="1"/>
      <c r="L311" s="1"/>
      <c r="M311" s="111"/>
      <c r="N311" s="113"/>
      <c r="O311" s="55"/>
      <c r="P311" s="113"/>
      <c r="Q311" s="1"/>
      <c r="R311" s="1"/>
      <c r="S311" s="84"/>
      <c r="T311" s="84"/>
      <c r="U311" s="1"/>
      <c r="V311" s="1"/>
      <c r="W311" s="1"/>
      <c r="X311" s="1"/>
      <c r="Y311" s="1"/>
      <c r="Z311" s="1"/>
      <c r="AA311" s="1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ht="15.75" customHeight="1">
      <c r="A312" s="1"/>
      <c r="B312" s="108"/>
      <c r="C312" s="108"/>
      <c r="D312" s="151"/>
      <c r="E312" s="109"/>
      <c r="F312" s="108"/>
      <c r="G312" s="109"/>
      <c r="H312" s="109"/>
      <c r="I312" s="108"/>
      <c r="J312" s="1"/>
      <c r="K312" s="1"/>
      <c r="L312" s="1"/>
      <c r="M312" s="111"/>
      <c r="N312" s="113"/>
      <c r="O312" s="55"/>
      <c r="P312" s="113"/>
      <c r="Q312" s="1"/>
      <c r="R312" s="1"/>
      <c r="S312" s="84"/>
      <c r="T312" s="84"/>
      <c r="U312" s="1"/>
      <c r="V312" s="1"/>
      <c r="W312" s="1"/>
      <c r="X312" s="1"/>
      <c r="Y312" s="1"/>
      <c r="Z312" s="1"/>
      <c r="AA312" s="1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ht="15.75" customHeight="1">
      <c r="A313" s="1"/>
      <c r="B313" s="108"/>
      <c r="C313" s="108"/>
      <c r="D313" s="151"/>
      <c r="E313" s="109"/>
      <c r="F313" s="108"/>
      <c r="G313" s="109"/>
      <c r="H313" s="109"/>
      <c r="I313" s="108"/>
      <c r="J313" s="1"/>
      <c r="K313" s="1"/>
      <c r="L313" s="1"/>
      <c r="M313" s="111"/>
      <c r="N313" s="113"/>
      <c r="O313" s="55"/>
      <c r="P313" s="113"/>
      <c r="Q313" s="1"/>
      <c r="R313" s="1"/>
      <c r="S313" s="84"/>
      <c r="T313" s="84"/>
      <c r="U313" s="1"/>
      <c r="V313" s="1"/>
      <c r="W313" s="1"/>
      <c r="X313" s="1"/>
      <c r="Y313" s="1"/>
      <c r="Z313" s="1"/>
      <c r="AA313" s="1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ht="15.75" customHeight="1">
      <c r="A314" s="1"/>
      <c r="B314" s="108"/>
      <c r="C314" s="108"/>
      <c r="D314" s="151"/>
      <c r="E314" s="109"/>
      <c r="F314" s="108"/>
      <c r="G314" s="109"/>
      <c r="H314" s="109"/>
      <c r="I314" s="108"/>
      <c r="J314" s="1"/>
      <c r="K314" s="1"/>
      <c r="L314" s="1"/>
      <c r="M314" s="111"/>
      <c r="N314" s="113"/>
      <c r="O314" s="55"/>
      <c r="P314" s="113"/>
      <c r="Q314" s="1"/>
      <c r="R314" s="1"/>
      <c r="S314" s="84"/>
      <c r="T314" s="84"/>
      <c r="U314" s="1"/>
      <c r="V314" s="1"/>
      <c r="W314" s="1"/>
      <c r="X314" s="1"/>
      <c r="Y314" s="1"/>
      <c r="Z314" s="1"/>
      <c r="AA314" s="1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ht="15.75" customHeight="1">
      <c r="A315" s="1"/>
      <c r="B315" s="108"/>
      <c r="C315" s="108"/>
      <c r="D315" s="151"/>
      <c r="E315" s="109"/>
      <c r="F315" s="108"/>
      <c r="G315" s="109"/>
      <c r="H315" s="109"/>
      <c r="I315" s="108"/>
      <c r="J315" s="1"/>
      <c r="K315" s="1"/>
      <c r="L315" s="1"/>
      <c r="M315" s="111"/>
      <c r="N315" s="113"/>
      <c r="O315" s="55"/>
      <c r="P315" s="113"/>
      <c r="Q315" s="1"/>
      <c r="R315" s="1"/>
      <c r="S315" s="84"/>
      <c r="T315" s="84"/>
      <c r="U315" s="1"/>
      <c r="V315" s="1"/>
      <c r="W315" s="1"/>
      <c r="X315" s="1"/>
      <c r="Y315" s="1"/>
      <c r="Z315" s="1"/>
      <c r="AA315" s="1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ht="15.75" customHeight="1">
      <c r="A316" s="1"/>
      <c r="B316" s="108"/>
      <c r="C316" s="108"/>
      <c r="D316" s="151"/>
      <c r="E316" s="109"/>
      <c r="F316" s="108"/>
      <c r="G316" s="109"/>
      <c r="H316" s="109"/>
      <c r="I316" s="108"/>
      <c r="J316" s="1"/>
      <c r="K316" s="1"/>
      <c r="L316" s="1"/>
      <c r="M316" s="111"/>
      <c r="N316" s="113"/>
      <c r="O316" s="55"/>
      <c r="P316" s="113"/>
      <c r="Q316" s="1"/>
      <c r="R316" s="1"/>
      <c r="S316" s="84"/>
      <c r="T316" s="84"/>
      <c r="U316" s="1"/>
      <c r="V316" s="1"/>
      <c r="W316" s="1"/>
      <c r="X316" s="1"/>
      <c r="Y316" s="1"/>
      <c r="Z316" s="1"/>
      <c r="AA316" s="1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ht="15.75" customHeight="1">
      <c r="A317" s="1"/>
      <c r="B317" s="108"/>
      <c r="C317" s="108"/>
      <c r="D317" s="151"/>
      <c r="E317" s="109"/>
      <c r="F317" s="108"/>
      <c r="G317" s="109"/>
      <c r="H317" s="109"/>
      <c r="I317" s="108"/>
      <c r="J317" s="1"/>
      <c r="K317" s="1"/>
      <c r="L317" s="1"/>
      <c r="M317" s="111"/>
      <c r="N317" s="113"/>
      <c r="O317" s="55"/>
      <c r="P317" s="113"/>
      <c r="Q317" s="1"/>
      <c r="R317" s="1"/>
      <c r="S317" s="84"/>
      <c r="T317" s="84"/>
      <c r="U317" s="1"/>
      <c r="V317" s="1"/>
      <c r="W317" s="1"/>
      <c r="X317" s="1"/>
      <c r="Y317" s="1"/>
      <c r="Z317" s="1"/>
      <c r="AA317" s="1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ht="15.75" customHeight="1">
      <c r="A318" s="1"/>
      <c r="B318" s="108"/>
      <c r="C318" s="108"/>
      <c r="D318" s="151"/>
      <c r="E318" s="109"/>
      <c r="F318" s="108"/>
      <c r="G318" s="109"/>
      <c r="H318" s="109"/>
      <c r="I318" s="108"/>
      <c r="J318" s="1"/>
      <c r="K318" s="1"/>
      <c r="L318" s="1"/>
      <c r="M318" s="113"/>
      <c r="N318" s="113"/>
      <c r="O318" s="55"/>
      <c r="P318" s="113"/>
      <c r="Q318" s="1"/>
      <c r="R318" s="1"/>
      <c r="S318" s="84"/>
      <c r="T318" s="84"/>
      <c r="U318" s="1"/>
      <c r="V318" s="1"/>
      <c r="W318" s="1"/>
      <c r="X318" s="1"/>
      <c r="Y318" s="1"/>
      <c r="Z318" s="1"/>
      <c r="AA318" s="1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ht="15.75" customHeight="1">
      <c r="A319" s="1"/>
      <c r="B319" s="108"/>
      <c r="C319" s="108"/>
      <c r="D319" s="151"/>
      <c r="E319" s="109"/>
      <c r="F319" s="108"/>
      <c r="G319" s="109"/>
      <c r="H319" s="109"/>
      <c r="I319" s="108"/>
      <c r="J319" s="1"/>
      <c r="K319" s="1"/>
      <c r="L319" s="1"/>
      <c r="M319" s="113"/>
      <c r="N319" s="113"/>
      <c r="O319" s="55"/>
      <c r="P319" s="113"/>
      <c r="Q319" s="1"/>
      <c r="R319" s="1"/>
      <c r="S319" s="84"/>
      <c r="T319" s="84"/>
      <c r="U319" s="1"/>
      <c r="V319" s="1"/>
      <c r="W319" s="1"/>
      <c r="X319" s="1"/>
      <c r="Y319" s="1"/>
      <c r="Z319" s="1"/>
      <c r="AA319" s="1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ht="15.75" customHeight="1">
      <c r="A320" s="1"/>
      <c r="B320" s="108"/>
      <c r="C320" s="108"/>
      <c r="D320" s="151"/>
      <c r="E320" s="109"/>
      <c r="F320" s="108"/>
      <c r="G320" s="109"/>
      <c r="H320" s="109"/>
      <c r="I320" s="108"/>
      <c r="J320" s="1"/>
      <c r="K320" s="1"/>
      <c r="L320" s="1"/>
      <c r="M320" s="113"/>
      <c r="N320" s="113"/>
      <c r="O320" s="1"/>
      <c r="P320" s="113"/>
      <c r="Q320" s="1"/>
      <c r="R320" s="1"/>
      <c r="S320" s="84"/>
      <c r="T320" s="84"/>
      <c r="U320" s="1"/>
      <c r="V320" s="1"/>
      <c r="W320" s="1"/>
      <c r="X320" s="1"/>
      <c r="Y320" s="1"/>
      <c r="Z320" s="1"/>
      <c r="AA320" s="1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ht="15.75" customHeight="1">
      <c r="A372" s="1"/>
      <c r="B372" s="16"/>
      <c r="C372" s="16"/>
      <c r="D372" s="16"/>
      <c r="E372" s="16"/>
      <c r="F372" s="16"/>
      <c r="G372" s="16"/>
      <c r="H372" s="16"/>
      <c r="I372" s="1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ht="15.75" customHeight="1">
      <c r="A373" s="1"/>
      <c r="B373" s="109"/>
      <c r="C373" s="109"/>
      <c r="D373" s="151"/>
      <c r="E373" s="109"/>
      <c r="F373" s="108"/>
      <c r="G373" s="109"/>
      <c r="H373" s="109"/>
      <c r="I373" s="109"/>
      <c r="J373" s="1"/>
      <c r="K373" s="1"/>
      <c r="L373" s="1"/>
      <c r="M373" s="111"/>
      <c r="N373" s="111"/>
      <c r="O373" s="113"/>
      <c r="P373" s="11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ht="15.75" customHeight="1">
      <c r="A374" s="1"/>
      <c r="B374" s="108"/>
      <c r="C374" s="108"/>
      <c r="D374" s="151"/>
      <c r="E374" s="109"/>
      <c r="F374" s="108"/>
      <c r="G374" s="108"/>
      <c r="H374" s="109"/>
      <c r="I374" s="108"/>
      <c r="J374" s="1"/>
      <c r="K374" s="1"/>
      <c r="L374" s="1"/>
      <c r="M374" s="111"/>
      <c r="N374" s="111"/>
      <c r="O374" s="55"/>
      <c r="P374" s="111"/>
      <c r="Q374" s="1"/>
      <c r="R374" s="1"/>
      <c r="S374" s="84"/>
      <c r="T374" s="84"/>
      <c r="U374" s="1"/>
      <c r="V374" s="1"/>
      <c r="W374" s="1"/>
      <c r="X374" s="1"/>
      <c r="Y374" s="1"/>
      <c r="Z374" s="1"/>
      <c r="AA374" s="1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ht="15.75" customHeight="1">
      <c r="A375" s="1"/>
      <c r="B375" s="108"/>
      <c r="C375" s="108"/>
      <c r="D375" s="151"/>
      <c r="E375" s="109"/>
      <c r="F375" s="108"/>
      <c r="G375" s="109"/>
      <c r="H375" s="109"/>
      <c r="I375" s="108"/>
      <c r="J375" s="1"/>
      <c r="K375" s="1"/>
      <c r="L375" s="1"/>
      <c r="M375" s="111"/>
      <c r="N375" s="111"/>
      <c r="O375" s="55"/>
      <c r="P375" s="111"/>
      <c r="Q375" s="1"/>
      <c r="R375" s="1"/>
      <c r="S375" s="84"/>
      <c r="T375" s="84"/>
      <c r="U375" s="1"/>
      <c r="V375" s="1"/>
      <c r="W375" s="1"/>
      <c r="X375" s="1"/>
      <c r="Y375" s="1"/>
      <c r="Z375" s="1"/>
      <c r="AA375" s="1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ht="15.75" customHeight="1">
      <c r="A376" s="1"/>
      <c r="B376" s="108"/>
      <c r="C376" s="108"/>
      <c r="D376" s="151"/>
      <c r="E376" s="109"/>
      <c r="F376" s="108"/>
      <c r="G376" s="109"/>
      <c r="H376" s="109"/>
      <c r="I376" s="108"/>
      <c r="J376" s="1"/>
      <c r="K376" s="1"/>
      <c r="L376" s="1"/>
      <c r="M376" s="111"/>
      <c r="N376" s="111"/>
      <c r="O376" s="55"/>
      <c r="P376" s="111"/>
      <c r="Q376" s="1"/>
      <c r="R376" s="1"/>
      <c r="S376" s="84"/>
      <c r="T376" s="84"/>
      <c r="U376" s="1"/>
      <c r="V376" s="1"/>
      <c r="W376" s="1"/>
      <c r="X376" s="1"/>
      <c r="Y376" s="1"/>
      <c r="Z376" s="1"/>
      <c r="AA376" s="1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ht="15.75" customHeight="1">
      <c r="A377" s="1"/>
      <c r="B377" s="108"/>
      <c r="C377" s="108"/>
      <c r="D377" s="151"/>
      <c r="E377" s="109"/>
      <c r="F377" s="108"/>
      <c r="G377" s="109"/>
      <c r="H377" s="109"/>
      <c r="I377" s="108"/>
      <c r="J377" s="1"/>
      <c r="K377" s="1"/>
      <c r="L377" s="1"/>
      <c r="M377" s="111"/>
      <c r="N377" s="111"/>
      <c r="O377" s="55"/>
      <c r="P377" s="111"/>
      <c r="Q377" s="1"/>
      <c r="R377" s="1"/>
      <c r="S377" s="84"/>
      <c r="T377" s="84"/>
      <c r="U377" s="1"/>
      <c r="V377" s="1"/>
      <c r="W377" s="1"/>
      <c r="X377" s="1"/>
      <c r="Y377" s="1"/>
      <c r="Z377" s="1"/>
      <c r="AA377" s="1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ht="15.75" customHeight="1">
      <c r="A378" s="1"/>
      <c r="B378" s="108"/>
      <c r="C378" s="108"/>
      <c r="D378" s="151"/>
      <c r="E378" s="109"/>
      <c r="F378" s="108"/>
      <c r="G378" s="109"/>
      <c r="H378" s="109"/>
      <c r="I378" s="108"/>
      <c r="J378" s="1"/>
      <c r="K378" s="1"/>
      <c r="L378" s="1"/>
      <c r="M378" s="111"/>
      <c r="N378" s="111"/>
      <c r="O378" s="55"/>
      <c r="P378" s="111"/>
      <c r="Q378" s="1"/>
      <c r="R378" s="1"/>
      <c r="S378" s="84"/>
      <c r="T378" s="84"/>
      <c r="U378" s="1"/>
      <c r="V378" s="1"/>
      <c r="W378" s="1"/>
      <c r="X378" s="1"/>
      <c r="Y378" s="1"/>
      <c r="Z378" s="1"/>
      <c r="AA378" s="1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ht="15.75" customHeight="1">
      <c r="A379" s="1"/>
      <c r="B379" s="108"/>
      <c r="C379" s="108"/>
      <c r="D379" s="151"/>
      <c r="E379" s="109"/>
      <c r="F379" s="108"/>
      <c r="G379" s="109"/>
      <c r="H379" s="109"/>
      <c r="I379" s="108"/>
      <c r="J379" s="1"/>
      <c r="K379" s="1"/>
      <c r="L379" s="1"/>
      <c r="M379" s="111"/>
      <c r="N379" s="111"/>
      <c r="O379" s="55"/>
      <c r="P379" s="111"/>
      <c r="Q379" s="1"/>
      <c r="R379" s="1"/>
      <c r="S379" s="84"/>
      <c r="T379" s="84"/>
      <c r="U379" s="1"/>
      <c r="V379" s="1"/>
      <c r="W379" s="1"/>
      <c r="X379" s="1"/>
      <c r="Y379" s="1"/>
      <c r="Z379" s="1"/>
      <c r="AA379" s="1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ht="15.75" customHeight="1">
      <c r="A380" s="1"/>
      <c r="B380" s="108"/>
      <c r="C380" s="108"/>
      <c r="D380" s="151"/>
      <c r="E380" s="109"/>
      <c r="F380" s="108"/>
      <c r="G380" s="109"/>
      <c r="H380" s="109"/>
      <c r="I380" s="108"/>
      <c r="J380" s="1"/>
      <c r="K380" s="1"/>
      <c r="L380" s="1"/>
      <c r="M380" s="111"/>
      <c r="N380" s="111"/>
      <c r="O380" s="55"/>
      <c r="P380" s="111"/>
      <c r="Q380" s="1"/>
      <c r="R380" s="1"/>
      <c r="S380" s="84"/>
      <c r="T380" s="84"/>
      <c r="U380" s="1"/>
      <c r="V380" s="1"/>
      <c r="W380" s="1"/>
      <c r="X380" s="1"/>
      <c r="Y380" s="1"/>
      <c r="Z380" s="1"/>
      <c r="AA380" s="1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ht="15.75" customHeight="1">
      <c r="A381" s="1"/>
      <c r="B381" s="108"/>
      <c r="C381" s="108"/>
      <c r="D381" s="151"/>
      <c r="E381" s="109"/>
      <c r="F381" s="108"/>
      <c r="G381" s="109"/>
      <c r="H381" s="109"/>
      <c r="I381" s="108"/>
      <c r="J381" s="1"/>
      <c r="K381" s="1"/>
      <c r="L381" s="1"/>
      <c r="M381" s="111"/>
      <c r="N381" s="111"/>
      <c r="O381" s="55"/>
      <c r="P381" s="111"/>
      <c r="Q381" s="1"/>
      <c r="R381" s="1"/>
      <c r="S381" s="84"/>
      <c r="T381" s="84"/>
      <c r="U381" s="1"/>
      <c r="V381" s="1"/>
      <c r="W381" s="1"/>
      <c r="X381" s="1"/>
      <c r="Y381" s="1"/>
      <c r="Z381" s="1"/>
      <c r="AA381" s="1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ht="15.75" customHeight="1">
      <c r="A382" s="1"/>
      <c r="B382" s="108"/>
      <c r="C382" s="108"/>
      <c r="D382" s="151"/>
      <c r="E382" s="109"/>
      <c r="F382" s="108"/>
      <c r="G382" s="109"/>
      <c r="H382" s="109"/>
      <c r="I382" s="108"/>
      <c r="J382" s="1"/>
      <c r="K382" s="1"/>
      <c r="L382" s="1"/>
      <c r="M382" s="111"/>
      <c r="N382" s="111"/>
      <c r="O382" s="55"/>
      <c r="P382" s="111"/>
      <c r="Q382" s="1"/>
      <c r="R382" s="1"/>
      <c r="S382" s="84"/>
      <c r="T382" s="84"/>
      <c r="U382" s="1"/>
      <c r="V382" s="1"/>
      <c r="W382" s="1"/>
      <c r="X382" s="1"/>
      <c r="Y382" s="1"/>
      <c r="Z382" s="1"/>
      <c r="AA382" s="1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ht="15.75" customHeight="1">
      <c r="A383" s="1"/>
      <c r="B383" s="108"/>
      <c r="C383" s="108"/>
      <c r="D383" s="151"/>
      <c r="E383" s="109"/>
      <c r="F383" s="108"/>
      <c r="G383" s="109"/>
      <c r="H383" s="109"/>
      <c r="I383" s="108"/>
      <c r="J383" s="1"/>
      <c r="K383" s="1"/>
      <c r="L383" s="1"/>
      <c r="M383" s="111"/>
      <c r="N383" s="111"/>
      <c r="O383" s="55"/>
      <c r="P383" s="111"/>
      <c r="Q383" s="1"/>
      <c r="R383" s="1"/>
      <c r="S383" s="84"/>
      <c r="T383" s="84"/>
      <c r="U383" s="1"/>
      <c r="V383" s="1"/>
      <c r="W383" s="1"/>
      <c r="X383" s="1"/>
      <c r="Y383" s="1"/>
      <c r="Z383" s="1"/>
      <c r="AA383" s="1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ht="15.75" customHeight="1">
      <c r="A384" s="1"/>
      <c r="B384" s="108"/>
      <c r="C384" s="108"/>
      <c r="D384" s="151"/>
      <c r="E384" s="109"/>
      <c r="F384" s="108"/>
      <c r="G384" s="109"/>
      <c r="H384" s="109"/>
      <c r="I384" s="108"/>
      <c r="J384" s="1"/>
      <c r="K384" s="1"/>
      <c r="L384" s="1"/>
      <c r="M384" s="111"/>
      <c r="N384" s="111"/>
      <c r="O384" s="55"/>
      <c r="P384" s="111"/>
      <c r="Q384" s="1"/>
      <c r="R384" s="1"/>
      <c r="S384" s="84"/>
      <c r="T384" s="84"/>
      <c r="U384" s="1"/>
      <c r="V384" s="1"/>
      <c r="W384" s="1"/>
      <c r="X384" s="1"/>
      <c r="Y384" s="1"/>
      <c r="Z384" s="1"/>
      <c r="AA384" s="1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ht="15.75" customHeight="1">
      <c r="A385" s="1"/>
      <c r="B385" s="108"/>
      <c r="C385" s="108"/>
      <c r="D385" s="151"/>
      <c r="E385" s="109"/>
      <c r="F385" s="108"/>
      <c r="G385" s="109"/>
      <c r="H385" s="109"/>
      <c r="I385" s="108"/>
      <c r="J385" s="1"/>
      <c r="K385" s="1"/>
      <c r="L385" s="1"/>
      <c r="M385" s="113"/>
      <c r="N385" s="113"/>
      <c r="O385" s="1"/>
      <c r="P385" s="113"/>
      <c r="Q385" s="1"/>
      <c r="R385" s="1"/>
      <c r="S385" s="84"/>
      <c r="T385" s="84"/>
      <c r="U385" s="1"/>
      <c r="V385" s="1"/>
      <c r="W385" s="1"/>
      <c r="X385" s="1"/>
      <c r="Y385" s="1"/>
      <c r="Z385" s="1"/>
      <c r="AA385" s="1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ht="15.75" customHeight="1">
      <c r="A386" s="1"/>
      <c r="B386" s="108"/>
      <c r="C386" s="108"/>
      <c r="D386" s="151"/>
      <c r="E386" s="109"/>
      <c r="F386" s="108"/>
      <c r="G386" s="109"/>
      <c r="H386" s="109"/>
      <c r="I386" s="108"/>
      <c r="J386" s="1"/>
      <c r="K386" s="1"/>
      <c r="L386" s="1"/>
      <c r="M386" s="113"/>
      <c r="N386" s="113"/>
      <c r="O386" s="1"/>
      <c r="P386" s="113"/>
      <c r="Q386" s="1"/>
      <c r="R386" s="1"/>
      <c r="S386" s="84"/>
      <c r="T386" s="84"/>
      <c r="U386" s="1"/>
      <c r="V386" s="1"/>
      <c r="W386" s="1"/>
      <c r="X386" s="1"/>
      <c r="Y386" s="1"/>
      <c r="Z386" s="1"/>
      <c r="AA386" s="1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ht="15.75" customHeight="1">
      <c r="A387" s="1"/>
      <c r="B387" s="108"/>
      <c r="C387" s="108"/>
      <c r="D387" s="151"/>
      <c r="E387" s="109"/>
      <c r="F387" s="108"/>
      <c r="G387" s="109"/>
      <c r="H387" s="109"/>
      <c r="I387" s="108"/>
      <c r="J387" s="1"/>
      <c r="K387" s="1"/>
      <c r="L387" s="1"/>
      <c r="M387" s="113"/>
      <c r="N387" s="113"/>
      <c r="O387" s="1"/>
      <c r="P387" s="113"/>
      <c r="Q387" s="1"/>
      <c r="R387" s="1"/>
      <c r="S387" s="84"/>
      <c r="T387" s="84"/>
      <c r="U387" s="1"/>
      <c r="V387" s="1"/>
      <c r="W387" s="1"/>
      <c r="X387" s="1"/>
      <c r="Y387" s="1"/>
      <c r="Z387" s="1"/>
      <c r="AA387" s="1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ht="15.75" customHeight="1">
      <c r="A388" s="1"/>
      <c r="B388" s="108"/>
      <c r="C388" s="108"/>
      <c r="D388" s="151"/>
      <c r="E388" s="109"/>
      <c r="F388" s="108"/>
      <c r="G388" s="109"/>
      <c r="H388" s="109"/>
      <c r="I388" s="108"/>
      <c r="J388" s="1"/>
      <c r="K388" s="1"/>
      <c r="L388" s="1"/>
      <c r="M388" s="113"/>
      <c r="N388" s="113"/>
      <c r="O388" s="55"/>
      <c r="P388" s="113"/>
      <c r="Q388" s="1"/>
      <c r="R388" s="1"/>
      <c r="S388" s="84"/>
      <c r="T388" s="84"/>
      <c r="U388" s="1"/>
      <c r="V388" s="1"/>
      <c r="W388" s="1"/>
      <c r="X388" s="1"/>
      <c r="Y388" s="1"/>
      <c r="Z388" s="1"/>
      <c r="AA388" s="1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ht="15.75" customHeight="1">
      <c r="A389" s="1"/>
      <c r="B389" s="108"/>
      <c r="C389" s="108"/>
      <c r="D389" s="151"/>
      <c r="E389" s="109"/>
      <c r="F389" s="108"/>
      <c r="G389" s="109"/>
      <c r="H389" s="109"/>
      <c r="I389" s="108"/>
      <c r="J389" s="1"/>
      <c r="K389" s="1"/>
      <c r="L389" s="1"/>
      <c r="M389" s="111"/>
      <c r="N389" s="113"/>
      <c r="O389" s="55"/>
      <c r="P389" s="113"/>
      <c r="Q389" s="1"/>
      <c r="R389" s="1"/>
      <c r="S389" s="84"/>
      <c r="T389" s="84"/>
      <c r="U389" s="1"/>
      <c r="V389" s="1"/>
      <c r="W389" s="1"/>
      <c r="X389" s="1"/>
      <c r="Y389" s="1"/>
      <c r="Z389" s="1"/>
      <c r="AA389" s="1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ht="15.75" customHeight="1">
      <c r="A390" s="1"/>
      <c r="B390" s="108"/>
      <c r="C390" s="108"/>
      <c r="D390" s="151"/>
      <c r="E390" s="109"/>
      <c r="F390" s="108"/>
      <c r="G390" s="109"/>
      <c r="H390" s="109"/>
      <c r="I390" s="108"/>
      <c r="J390" s="1"/>
      <c r="K390" s="1"/>
      <c r="L390" s="1"/>
      <c r="M390" s="111"/>
      <c r="N390" s="113"/>
      <c r="O390" s="55"/>
      <c r="P390" s="113"/>
      <c r="Q390" s="1"/>
      <c r="R390" s="1"/>
      <c r="S390" s="84"/>
      <c r="T390" s="84"/>
      <c r="U390" s="1"/>
      <c r="V390" s="1"/>
      <c r="W390" s="1"/>
      <c r="X390" s="1"/>
      <c r="Y390" s="1"/>
      <c r="Z390" s="1"/>
      <c r="AA390" s="1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ht="15.75" customHeight="1">
      <c r="A391" s="1"/>
      <c r="B391" s="108"/>
      <c r="C391" s="108"/>
      <c r="D391" s="151"/>
      <c r="E391" s="109"/>
      <c r="F391" s="108"/>
      <c r="G391" s="109"/>
      <c r="H391" s="109"/>
      <c r="I391" s="108"/>
      <c r="J391" s="1"/>
      <c r="K391" s="1"/>
      <c r="L391" s="1"/>
      <c r="M391" s="111"/>
      <c r="N391" s="113"/>
      <c r="O391" s="55"/>
      <c r="P391" s="113"/>
      <c r="Q391" s="1"/>
      <c r="R391" s="1"/>
      <c r="S391" s="84"/>
      <c r="T391" s="84"/>
      <c r="U391" s="1"/>
      <c r="V391" s="1"/>
      <c r="W391" s="1"/>
      <c r="X391" s="1"/>
      <c r="Y391" s="1"/>
      <c r="Z391" s="1"/>
      <c r="AA391" s="1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ht="15.75" customHeight="1">
      <c r="A392" s="1"/>
      <c r="B392" s="108"/>
      <c r="C392" s="108"/>
      <c r="D392" s="151"/>
      <c r="E392" s="109"/>
      <c r="F392" s="108"/>
      <c r="G392" s="109"/>
      <c r="H392" s="109"/>
      <c r="I392" s="108"/>
      <c r="J392" s="1"/>
      <c r="K392" s="1"/>
      <c r="L392" s="1"/>
      <c r="M392" s="111"/>
      <c r="N392" s="113"/>
      <c r="O392" s="55"/>
      <c r="P392" s="113"/>
      <c r="Q392" s="1"/>
      <c r="R392" s="1"/>
      <c r="S392" s="84"/>
      <c r="T392" s="84"/>
      <c r="U392" s="1"/>
      <c r="V392" s="1"/>
      <c r="W392" s="1"/>
      <c r="X392" s="1"/>
      <c r="Y392" s="1"/>
      <c r="Z392" s="1"/>
      <c r="AA392" s="1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ht="15.75" customHeight="1">
      <c r="A393" s="1"/>
      <c r="B393" s="108"/>
      <c r="C393" s="108"/>
      <c r="D393" s="151"/>
      <c r="E393" s="109"/>
      <c r="F393" s="108"/>
      <c r="G393" s="109"/>
      <c r="H393" s="109"/>
      <c r="I393" s="108"/>
      <c r="J393" s="1"/>
      <c r="K393" s="1"/>
      <c r="L393" s="1"/>
      <c r="M393" s="111"/>
      <c r="N393" s="113"/>
      <c r="O393" s="55"/>
      <c r="P393" s="113"/>
      <c r="Q393" s="1"/>
      <c r="R393" s="1"/>
      <c r="S393" s="84"/>
      <c r="T393" s="84"/>
      <c r="U393" s="1"/>
      <c r="V393" s="1"/>
      <c r="W393" s="1"/>
      <c r="X393" s="1"/>
      <c r="Y393" s="1"/>
      <c r="Z393" s="1"/>
      <c r="AA393" s="1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ht="15.75" customHeight="1">
      <c r="A394" s="1"/>
      <c r="B394" s="108"/>
      <c r="C394" s="108"/>
      <c r="D394" s="151"/>
      <c r="E394" s="109"/>
      <c r="F394" s="108"/>
      <c r="G394" s="109"/>
      <c r="H394" s="109"/>
      <c r="I394" s="108"/>
      <c r="J394" s="1"/>
      <c r="K394" s="1"/>
      <c r="L394" s="1"/>
      <c r="M394" s="111"/>
      <c r="N394" s="113"/>
      <c r="O394" s="55"/>
      <c r="P394" s="113"/>
      <c r="Q394" s="1"/>
      <c r="R394" s="1"/>
      <c r="S394" s="84"/>
      <c r="T394" s="84"/>
      <c r="U394" s="1"/>
      <c r="V394" s="1"/>
      <c r="W394" s="1"/>
      <c r="X394" s="1"/>
      <c r="Y394" s="1"/>
      <c r="Z394" s="1"/>
      <c r="AA394" s="1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ht="15.75" customHeight="1">
      <c r="A395" s="1"/>
      <c r="B395" s="108"/>
      <c r="C395" s="108"/>
      <c r="D395" s="151"/>
      <c r="E395" s="109"/>
      <c r="F395" s="108"/>
      <c r="G395" s="109"/>
      <c r="H395" s="109"/>
      <c r="I395" s="108"/>
      <c r="J395" s="1"/>
      <c r="K395" s="1"/>
      <c r="L395" s="1"/>
      <c r="M395" s="111"/>
      <c r="N395" s="113"/>
      <c r="O395" s="55"/>
      <c r="P395" s="113"/>
      <c r="Q395" s="1"/>
      <c r="R395" s="1"/>
      <c r="S395" s="84"/>
      <c r="T395" s="84"/>
      <c r="U395" s="1"/>
      <c r="V395" s="1"/>
      <c r="W395" s="1"/>
      <c r="X395" s="1"/>
      <c r="Y395" s="1"/>
      <c r="Z395" s="1"/>
      <c r="AA395" s="1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ht="15.75" customHeight="1">
      <c r="A396" s="1"/>
      <c r="B396" s="108"/>
      <c r="C396" s="108"/>
      <c r="D396" s="151"/>
      <c r="E396" s="109"/>
      <c r="F396" s="108"/>
      <c r="G396" s="109"/>
      <c r="H396" s="109"/>
      <c r="I396" s="108"/>
      <c r="J396" s="1"/>
      <c r="K396" s="1"/>
      <c r="L396" s="1"/>
      <c r="M396" s="111"/>
      <c r="N396" s="113"/>
      <c r="O396" s="55"/>
      <c r="P396" s="113"/>
      <c r="Q396" s="1"/>
      <c r="R396" s="1"/>
      <c r="S396" s="84"/>
      <c r="T396" s="84"/>
      <c r="U396" s="1"/>
      <c r="V396" s="1"/>
      <c r="W396" s="1"/>
      <c r="X396" s="1"/>
      <c r="Y396" s="1"/>
      <c r="Z396" s="1"/>
      <c r="AA396" s="1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ht="15.75" customHeight="1">
      <c r="A397" s="1"/>
      <c r="B397" s="108"/>
      <c r="C397" s="108"/>
      <c r="D397" s="151"/>
      <c r="E397" s="109"/>
      <c r="F397" s="108"/>
      <c r="G397" s="109"/>
      <c r="H397" s="109"/>
      <c r="I397" s="108"/>
      <c r="J397" s="1"/>
      <c r="K397" s="1"/>
      <c r="L397" s="1"/>
      <c r="M397" s="111"/>
      <c r="N397" s="113"/>
      <c r="O397" s="55"/>
      <c r="P397" s="113"/>
      <c r="Q397" s="1"/>
      <c r="R397" s="1"/>
      <c r="S397" s="84"/>
      <c r="T397" s="84"/>
      <c r="U397" s="1"/>
      <c r="V397" s="1"/>
      <c r="W397" s="1"/>
      <c r="X397" s="1"/>
      <c r="Y397" s="1"/>
      <c r="Z397" s="1"/>
      <c r="AA397" s="1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ht="15.75" customHeight="1">
      <c r="A398" s="1"/>
      <c r="B398" s="108"/>
      <c r="C398" s="108"/>
      <c r="D398" s="151"/>
      <c r="E398" s="109"/>
      <c r="F398" s="108"/>
      <c r="G398" s="109"/>
      <c r="H398" s="109"/>
      <c r="I398" s="108"/>
      <c r="J398" s="1"/>
      <c r="K398" s="1"/>
      <c r="L398" s="1"/>
      <c r="M398" s="113"/>
      <c r="N398" s="113"/>
      <c r="O398" s="55"/>
      <c r="P398" s="113"/>
      <c r="Q398" s="1"/>
      <c r="R398" s="1"/>
      <c r="S398" s="84"/>
      <c r="T398" s="84"/>
      <c r="U398" s="1"/>
      <c r="V398" s="1"/>
      <c r="W398" s="1"/>
      <c r="X398" s="1"/>
      <c r="Y398" s="1"/>
      <c r="Z398" s="1"/>
      <c r="AA398" s="1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ht="15.75" customHeight="1">
      <c r="A399" s="1"/>
      <c r="B399" s="108"/>
      <c r="C399" s="108"/>
      <c r="D399" s="151"/>
      <c r="E399" s="109"/>
      <c r="F399" s="108"/>
      <c r="G399" s="109"/>
      <c r="H399" s="109"/>
      <c r="I399" s="108"/>
      <c r="J399" s="1"/>
      <c r="K399" s="1"/>
      <c r="L399" s="1"/>
      <c r="M399" s="113"/>
      <c r="N399" s="113"/>
      <c r="O399" s="55"/>
      <c r="P399" s="113"/>
      <c r="Q399" s="1"/>
      <c r="R399" s="1"/>
      <c r="S399" s="84"/>
      <c r="T399" s="84"/>
      <c r="U399" s="1"/>
      <c r="V399" s="1"/>
      <c r="W399" s="1"/>
      <c r="X399" s="1"/>
      <c r="Y399" s="1"/>
      <c r="Z399" s="1"/>
      <c r="AA399" s="1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ht="15.75" customHeight="1">
      <c r="A400" s="1"/>
      <c r="B400" s="108"/>
      <c r="C400" s="108"/>
      <c r="D400" s="151"/>
      <c r="E400" s="109"/>
      <c r="F400" s="108"/>
      <c r="G400" s="109"/>
      <c r="H400" s="109"/>
      <c r="I400" s="108"/>
      <c r="J400" s="1"/>
      <c r="K400" s="1"/>
      <c r="L400" s="1"/>
      <c r="M400" s="113"/>
      <c r="N400" s="113"/>
      <c r="O400" s="1"/>
      <c r="P400" s="113"/>
      <c r="Q400" s="1"/>
      <c r="R400" s="1"/>
      <c r="S400" s="84"/>
      <c r="T400" s="84"/>
      <c r="U400" s="1"/>
      <c r="V400" s="1"/>
      <c r="W400" s="1"/>
      <c r="X400" s="1"/>
      <c r="Y400" s="1"/>
      <c r="Z400" s="1"/>
      <c r="AA400" s="1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ht="15.75" customHeight="1">
      <c r="A452" s="1"/>
      <c r="B452" s="16"/>
      <c r="C452" s="16"/>
      <c r="D452" s="16"/>
      <c r="E452" s="16"/>
      <c r="F452" s="16"/>
      <c r="G452" s="16"/>
      <c r="H452" s="16"/>
      <c r="I452" s="1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ht="15.75" customHeight="1">
      <c r="A453" s="1"/>
      <c r="B453" s="109"/>
      <c r="C453" s="109"/>
      <c r="D453" s="151"/>
      <c r="E453" s="109"/>
      <c r="F453" s="108"/>
      <c r="G453" s="109"/>
      <c r="H453" s="109"/>
      <c r="I453" s="109"/>
      <c r="J453" s="1"/>
      <c r="K453" s="1"/>
      <c r="L453" s="1"/>
      <c r="M453" s="111"/>
      <c r="N453" s="111"/>
      <c r="O453" s="113"/>
      <c r="P453" s="11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ht="15.75" customHeight="1">
      <c r="A454" s="1"/>
      <c r="B454" s="108"/>
      <c r="C454" s="108"/>
      <c r="D454" s="151"/>
      <c r="E454" s="109"/>
      <c r="F454" s="108"/>
      <c r="G454" s="108"/>
      <c r="H454" s="109"/>
      <c r="I454" s="108"/>
      <c r="J454" s="1"/>
      <c r="K454" s="1"/>
      <c r="L454" s="1"/>
      <c r="M454" s="111"/>
      <c r="N454" s="111"/>
      <c r="O454" s="55"/>
      <c r="P454" s="111"/>
      <c r="Q454" s="1"/>
      <c r="R454" s="1"/>
      <c r="S454" s="84"/>
      <c r="T454" s="84"/>
      <c r="U454" s="1"/>
      <c r="V454" s="1"/>
      <c r="W454" s="1"/>
      <c r="X454" s="1"/>
      <c r="Y454" s="1"/>
      <c r="Z454" s="1"/>
      <c r="AA454" s="1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ht="15.75" customHeight="1">
      <c r="A455" s="1"/>
      <c r="B455" s="108"/>
      <c r="C455" s="108"/>
      <c r="D455" s="151"/>
      <c r="E455" s="109"/>
      <c r="F455" s="108"/>
      <c r="G455" s="109"/>
      <c r="H455" s="109"/>
      <c r="I455" s="108"/>
      <c r="J455" s="1"/>
      <c r="K455" s="1"/>
      <c r="L455" s="1"/>
      <c r="M455" s="111"/>
      <c r="N455" s="111"/>
      <c r="O455" s="55"/>
      <c r="P455" s="111"/>
      <c r="Q455" s="1"/>
      <c r="R455" s="1"/>
      <c r="S455" s="84"/>
      <c r="T455" s="84"/>
      <c r="U455" s="1"/>
      <c r="V455" s="1"/>
      <c r="W455" s="1"/>
      <c r="X455" s="1"/>
      <c r="Y455" s="1"/>
      <c r="Z455" s="1"/>
      <c r="AA455" s="1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ht="15.75" customHeight="1">
      <c r="A456" s="1"/>
      <c r="B456" s="108"/>
      <c r="C456" s="108"/>
      <c r="D456" s="151"/>
      <c r="E456" s="109"/>
      <c r="F456" s="108"/>
      <c r="G456" s="109"/>
      <c r="H456" s="109"/>
      <c r="I456" s="108"/>
      <c r="J456" s="1"/>
      <c r="K456" s="1"/>
      <c r="L456" s="1"/>
      <c r="M456" s="111"/>
      <c r="N456" s="111"/>
      <c r="O456" s="55"/>
      <c r="P456" s="111"/>
      <c r="Q456" s="1"/>
      <c r="R456" s="1"/>
      <c r="S456" s="84"/>
      <c r="T456" s="84"/>
      <c r="U456" s="1"/>
      <c r="V456" s="1"/>
      <c r="W456" s="1"/>
      <c r="X456" s="1"/>
      <c r="Y456" s="1"/>
      <c r="Z456" s="1"/>
      <c r="AA456" s="1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ht="15.75" customHeight="1">
      <c r="A457" s="1"/>
      <c r="B457" s="108"/>
      <c r="C457" s="108"/>
      <c r="D457" s="151"/>
      <c r="E457" s="109"/>
      <c r="F457" s="108"/>
      <c r="G457" s="109"/>
      <c r="H457" s="109"/>
      <c r="I457" s="108"/>
      <c r="J457" s="1"/>
      <c r="K457" s="1"/>
      <c r="L457" s="1"/>
      <c r="M457" s="111"/>
      <c r="N457" s="111"/>
      <c r="O457" s="55"/>
      <c r="P457" s="111"/>
      <c r="Q457" s="1"/>
      <c r="R457" s="1"/>
      <c r="S457" s="84"/>
      <c r="T457" s="84"/>
      <c r="U457" s="1"/>
      <c r="V457" s="1"/>
      <c r="W457" s="1"/>
      <c r="X457" s="1"/>
      <c r="Y457" s="1"/>
      <c r="Z457" s="1"/>
      <c r="AA457" s="1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ht="15.75" customHeight="1">
      <c r="A458" s="1"/>
      <c r="B458" s="108"/>
      <c r="C458" s="108"/>
      <c r="D458" s="151"/>
      <c r="E458" s="109"/>
      <c r="F458" s="108"/>
      <c r="G458" s="109"/>
      <c r="H458" s="109"/>
      <c r="I458" s="108"/>
      <c r="J458" s="1"/>
      <c r="K458" s="1"/>
      <c r="L458" s="1"/>
      <c r="M458" s="111"/>
      <c r="N458" s="111"/>
      <c r="O458" s="55"/>
      <c r="P458" s="111"/>
      <c r="Q458" s="1"/>
      <c r="R458" s="1"/>
      <c r="S458" s="84"/>
      <c r="T458" s="84"/>
      <c r="U458" s="1"/>
      <c r="V458" s="1"/>
      <c r="W458" s="1"/>
      <c r="X458" s="1"/>
      <c r="Y458" s="1"/>
      <c r="Z458" s="1"/>
      <c r="AA458" s="1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ht="15.75" customHeight="1">
      <c r="A459" s="1"/>
      <c r="B459" s="108"/>
      <c r="C459" s="108"/>
      <c r="D459" s="151"/>
      <c r="E459" s="109"/>
      <c r="F459" s="108"/>
      <c r="G459" s="109"/>
      <c r="H459" s="109"/>
      <c r="I459" s="108"/>
      <c r="J459" s="1"/>
      <c r="K459" s="1"/>
      <c r="L459" s="1"/>
      <c r="M459" s="111"/>
      <c r="N459" s="111"/>
      <c r="O459" s="55"/>
      <c r="P459" s="111"/>
      <c r="Q459" s="1"/>
      <c r="R459" s="1"/>
      <c r="S459" s="84"/>
      <c r="T459" s="84"/>
      <c r="U459" s="1"/>
      <c r="V459" s="1"/>
      <c r="W459" s="1"/>
      <c r="X459" s="1"/>
      <c r="Y459" s="1"/>
      <c r="Z459" s="1"/>
      <c r="AA459" s="1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ht="15.75" customHeight="1">
      <c r="A460" s="1"/>
      <c r="B460" s="108"/>
      <c r="C460" s="108"/>
      <c r="D460" s="151"/>
      <c r="E460" s="109"/>
      <c r="F460" s="108"/>
      <c r="G460" s="109"/>
      <c r="H460" s="109"/>
      <c r="I460" s="108"/>
      <c r="J460" s="1"/>
      <c r="K460" s="1"/>
      <c r="L460" s="1"/>
      <c r="M460" s="111"/>
      <c r="N460" s="111"/>
      <c r="O460" s="55"/>
      <c r="P460" s="111"/>
      <c r="Q460" s="1"/>
      <c r="R460" s="1"/>
      <c r="S460" s="84"/>
      <c r="T460" s="84"/>
      <c r="U460" s="1"/>
      <c r="V460" s="1"/>
      <c r="W460" s="1"/>
      <c r="X460" s="1"/>
      <c r="Y460" s="1"/>
      <c r="Z460" s="1"/>
      <c r="AA460" s="1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ht="15.75" customHeight="1">
      <c r="A461" s="1"/>
      <c r="B461" s="108"/>
      <c r="C461" s="108"/>
      <c r="D461" s="151"/>
      <c r="E461" s="109"/>
      <c r="F461" s="108"/>
      <c r="G461" s="109"/>
      <c r="H461" s="109"/>
      <c r="I461" s="108"/>
      <c r="J461" s="1"/>
      <c r="K461" s="1"/>
      <c r="L461" s="1"/>
      <c r="M461" s="111"/>
      <c r="N461" s="111"/>
      <c r="O461" s="55"/>
      <c r="P461" s="111"/>
      <c r="Q461" s="1"/>
      <c r="R461" s="1"/>
      <c r="S461" s="84"/>
      <c r="T461" s="84"/>
      <c r="U461" s="1"/>
      <c r="V461" s="1"/>
      <c r="W461" s="1"/>
      <c r="X461" s="1"/>
      <c r="Y461" s="1"/>
      <c r="Z461" s="1"/>
      <c r="AA461" s="1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ht="15.75" customHeight="1">
      <c r="A462" s="1"/>
      <c r="B462" s="108"/>
      <c r="C462" s="108"/>
      <c r="D462" s="151"/>
      <c r="E462" s="109"/>
      <c r="F462" s="108"/>
      <c r="G462" s="109"/>
      <c r="H462" s="109"/>
      <c r="I462" s="108"/>
      <c r="J462" s="1"/>
      <c r="K462" s="1"/>
      <c r="L462" s="1"/>
      <c r="M462" s="111"/>
      <c r="N462" s="111"/>
      <c r="O462" s="55"/>
      <c r="P462" s="111"/>
      <c r="Q462" s="1"/>
      <c r="R462" s="1"/>
      <c r="S462" s="84"/>
      <c r="T462" s="84"/>
      <c r="U462" s="1"/>
      <c r="V462" s="1"/>
      <c r="W462" s="1"/>
      <c r="X462" s="1"/>
      <c r="Y462" s="1"/>
      <c r="Z462" s="1"/>
      <c r="AA462" s="1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ht="15.75" customHeight="1">
      <c r="A463" s="1"/>
      <c r="B463" s="108"/>
      <c r="C463" s="108"/>
      <c r="D463" s="151"/>
      <c r="E463" s="109"/>
      <c r="F463" s="108"/>
      <c r="G463" s="109"/>
      <c r="H463" s="109"/>
      <c r="I463" s="108"/>
      <c r="J463" s="1"/>
      <c r="K463" s="1"/>
      <c r="L463" s="1"/>
      <c r="M463" s="111"/>
      <c r="N463" s="111"/>
      <c r="O463" s="55"/>
      <c r="P463" s="111"/>
      <c r="Q463" s="1"/>
      <c r="R463" s="1"/>
      <c r="S463" s="84"/>
      <c r="T463" s="84"/>
      <c r="U463" s="1"/>
      <c r="V463" s="1"/>
      <c r="W463" s="1"/>
      <c r="X463" s="1"/>
      <c r="Y463" s="1"/>
      <c r="Z463" s="1"/>
      <c r="AA463" s="1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ht="15.75" customHeight="1">
      <c r="A464" s="1"/>
      <c r="B464" s="108"/>
      <c r="C464" s="108"/>
      <c r="D464" s="151"/>
      <c r="E464" s="109"/>
      <c r="F464" s="108"/>
      <c r="G464" s="109"/>
      <c r="H464" s="109"/>
      <c r="I464" s="108"/>
      <c r="J464" s="1"/>
      <c r="K464" s="1"/>
      <c r="L464" s="1"/>
      <c r="M464" s="111"/>
      <c r="N464" s="111"/>
      <c r="O464" s="55"/>
      <c r="P464" s="111"/>
      <c r="Q464" s="1"/>
      <c r="R464" s="1"/>
      <c r="S464" s="84"/>
      <c r="T464" s="84"/>
      <c r="U464" s="1"/>
      <c r="V464" s="1"/>
      <c r="W464" s="1"/>
      <c r="X464" s="1"/>
      <c r="Y464" s="1"/>
      <c r="Z464" s="1"/>
      <c r="AA464" s="1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ht="15.75" customHeight="1">
      <c r="A465" s="1"/>
      <c r="B465" s="108"/>
      <c r="C465" s="108"/>
      <c r="D465" s="151"/>
      <c r="E465" s="109"/>
      <c r="F465" s="108"/>
      <c r="G465" s="109"/>
      <c r="H465" s="109"/>
      <c r="I465" s="108"/>
      <c r="J465" s="1"/>
      <c r="K465" s="1"/>
      <c r="L465" s="1"/>
      <c r="M465" s="113"/>
      <c r="N465" s="113"/>
      <c r="O465" s="1"/>
      <c r="P465" s="113"/>
      <c r="Q465" s="1"/>
      <c r="R465" s="1"/>
      <c r="S465" s="84"/>
      <c r="T465" s="84"/>
      <c r="U465" s="1"/>
      <c r="V465" s="1"/>
      <c r="W465" s="1"/>
      <c r="X465" s="1"/>
      <c r="Y465" s="1"/>
      <c r="Z465" s="1"/>
      <c r="AA465" s="1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ht="15.75" customHeight="1">
      <c r="A466" s="1"/>
      <c r="B466" s="108"/>
      <c r="C466" s="108"/>
      <c r="D466" s="151"/>
      <c r="E466" s="109"/>
      <c r="F466" s="108"/>
      <c r="G466" s="109"/>
      <c r="H466" s="109"/>
      <c r="I466" s="108"/>
      <c r="J466" s="1"/>
      <c r="K466" s="1"/>
      <c r="L466" s="1"/>
      <c r="M466" s="113"/>
      <c r="N466" s="113"/>
      <c r="O466" s="1"/>
      <c r="P466" s="113"/>
      <c r="Q466" s="1"/>
      <c r="R466" s="1"/>
      <c r="S466" s="84"/>
      <c r="T466" s="84"/>
      <c r="U466" s="1"/>
      <c r="V466" s="1"/>
      <c r="W466" s="1"/>
      <c r="X466" s="1"/>
      <c r="Y466" s="1"/>
      <c r="Z466" s="1"/>
      <c r="AA466" s="1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ht="15.75" customHeight="1">
      <c r="A467" s="1"/>
      <c r="B467" s="108"/>
      <c r="C467" s="108"/>
      <c r="D467" s="151"/>
      <c r="E467" s="109"/>
      <c r="F467" s="108"/>
      <c r="G467" s="109"/>
      <c r="H467" s="109"/>
      <c r="I467" s="108"/>
      <c r="J467" s="1"/>
      <c r="K467" s="1"/>
      <c r="L467" s="1"/>
      <c r="M467" s="113"/>
      <c r="N467" s="113"/>
      <c r="O467" s="1"/>
      <c r="P467" s="113"/>
      <c r="Q467" s="1"/>
      <c r="R467" s="1"/>
      <c r="S467" s="84"/>
      <c r="T467" s="84"/>
      <c r="U467" s="1"/>
      <c r="V467" s="1"/>
      <c r="W467" s="1"/>
      <c r="X467" s="1"/>
      <c r="Y467" s="1"/>
      <c r="Z467" s="1"/>
      <c r="AA467" s="1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ht="15.75" customHeight="1">
      <c r="A468" s="1"/>
      <c r="B468" s="108"/>
      <c r="C468" s="108"/>
      <c r="D468" s="151"/>
      <c r="E468" s="109"/>
      <c r="F468" s="108"/>
      <c r="G468" s="109"/>
      <c r="H468" s="109"/>
      <c r="I468" s="108"/>
      <c r="J468" s="1"/>
      <c r="K468" s="1"/>
      <c r="L468" s="1"/>
      <c r="M468" s="113"/>
      <c r="N468" s="113"/>
      <c r="O468" s="55"/>
      <c r="P468" s="113"/>
      <c r="Q468" s="1"/>
      <c r="R468" s="1"/>
      <c r="S468" s="84"/>
      <c r="T468" s="84"/>
      <c r="U468" s="1"/>
      <c r="V468" s="1"/>
      <c r="W468" s="1"/>
      <c r="X468" s="1"/>
      <c r="Y468" s="1"/>
      <c r="Z468" s="1"/>
      <c r="AA468" s="1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ht="15.75" customHeight="1">
      <c r="A469" s="1"/>
      <c r="B469" s="108"/>
      <c r="C469" s="108"/>
      <c r="D469" s="151"/>
      <c r="E469" s="109"/>
      <c r="F469" s="108"/>
      <c r="G469" s="109"/>
      <c r="H469" s="109"/>
      <c r="I469" s="108"/>
      <c r="J469" s="1"/>
      <c r="K469" s="1"/>
      <c r="L469" s="1"/>
      <c r="M469" s="111"/>
      <c r="N469" s="113"/>
      <c r="O469" s="55"/>
      <c r="P469" s="113"/>
      <c r="Q469" s="1"/>
      <c r="R469" s="1"/>
      <c r="S469" s="84"/>
      <c r="T469" s="84"/>
      <c r="U469" s="1"/>
      <c r="V469" s="1"/>
      <c r="W469" s="1"/>
      <c r="X469" s="1"/>
      <c r="Y469" s="1"/>
      <c r="Z469" s="1"/>
      <c r="AA469" s="1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ht="15.75" customHeight="1">
      <c r="A470" s="1"/>
      <c r="B470" s="108"/>
      <c r="C470" s="108"/>
      <c r="D470" s="151"/>
      <c r="E470" s="109"/>
      <c r="F470" s="108"/>
      <c r="G470" s="109"/>
      <c r="H470" s="109"/>
      <c r="I470" s="108"/>
      <c r="J470" s="1"/>
      <c r="K470" s="1"/>
      <c r="L470" s="1"/>
      <c r="M470" s="111"/>
      <c r="N470" s="113"/>
      <c r="O470" s="55"/>
      <c r="P470" s="113"/>
      <c r="Q470" s="1"/>
      <c r="R470" s="1"/>
      <c r="S470" s="84"/>
      <c r="T470" s="84"/>
      <c r="U470" s="1"/>
      <c r="V470" s="1"/>
      <c r="W470" s="1"/>
      <c r="X470" s="1"/>
      <c r="Y470" s="1"/>
      <c r="Z470" s="1"/>
      <c r="AA470" s="1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ht="15.75" customHeight="1">
      <c r="A471" s="1"/>
      <c r="B471" s="108"/>
      <c r="C471" s="108"/>
      <c r="D471" s="151"/>
      <c r="E471" s="109"/>
      <c r="F471" s="108"/>
      <c r="G471" s="109"/>
      <c r="H471" s="109"/>
      <c r="I471" s="108"/>
      <c r="J471" s="1"/>
      <c r="K471" s="1"/>
      <c r="L471" s="1"/>
      <c r="M471" s="111"/>
      <c r="N471" s="113"/>
      <c r="O471" s="55"/>
      <c r="P471" s="113"/>
      <c r="Q471" s="1"/>
      <c r="R471" s="1"/>
      <c r="S471" s="84"/>
      <c r="T471" s="84"/>
      <c r="U471" s="1"/>
      <c r="V471" s="1"/>
      <c r="W471" s="1"/>
      <c r="X471" s="1"/>
      <c r="Y471" s="1"/>
      <c r="Z471" s="1"/>
      <c r="AA471" s="1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ht="15.75" customHeight="1">
      <c r="A472" s="1"/>
      <c r="B472" s="108"/>
      <c r="C472" s="108"/>
      <c r="D472" s="151"/>
      <c r="E472" s="109"/>
      <c r="F472" s="108"/>
      <c r="G472" s="109"/>
      <c r="H472" s="109"/>
      <c r="I472" s="108"/>
      <c r="J472" s="1"/>
      <c r="K472" s="1"/>
      <c r="L472" s="1"/>
      <c r="M472" s="111"/>
      <c r="N472" s="113"/>
      <c r="O472" s="55"/>
      <c r="P472" s="113"/>
      <c r="Q472" s="1"/>
      <c r="R472" s="1"/>
      <c r="S472" s="84"/>
      <c r="T472" s="84"/>
      <c r="U472" s="1"/>
      <c r="V472" s="1"/>
      <c r="W472" s="1"/>
      <c r="X472" s="1"/>
      <c r="Y472" s="1"/>
      <c r="Z472" s="1"/>
      <c r="AA472" s="1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ht="15.75" customHeight="1">
      <c r="A473" s="1"/>
      <c r="B473" s="108"/>
      <c r="C473" s="108"/>
      <c r="D473" s="151"/>
      <c r="E473" s="109"/>
      <c r="F473" s="108"/>
      <c r="G473" s="109"/>
      <c r="H473" s="109"/>
      <c r="I473" s="108"/>
      <c r="J473" s="1"/>
      <c r="K473" s="1"/>
      <c r="L473" s="1"/>
      <c r="M473" s="111"/>
      <c r="N473" s="113"/>
      <c r="O473" s="55"/>
      <c r="P473" s="113"/>
      <c r="Q473" s="1"/>
      <c r="R473" s="1"/>
      <c r="S473" s="84"/>
      <c r="T473" s="84"/>
      <c r="U473" s="1"/>
      <c r="V473" s="1"/>
      <c r="W473" s="1"/>
      <c r="X473" s="1"/>
      <c r="Y473" s="1"/>
      <c r="Z473" s="1"/>
      <c r="AA473" s="1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ht="15.75" customHeight="1">
      <c r="A474" s="1"/>
      <c r="B474" s="108"/>
      <c r="C474" s="108"/>
      <c r="D474" s="151"/>
      <c r="E474" s="109"/>
      <c r="F474" s="108"/>
      <c r="G474" s="109"/>
      <c r="H474" s="109"/>
      <c r="I474" s="108"/>
      <c r="J474" s="1"/>
      <c r="K474" s="1"/>
      <c r="L474" s="1"/>
      <c r="M474" s="111"/>
      <c r="N474" s="113"/>
      <c r="O474" s="55"/>
      <c r="P474" s="113"/>
      <c r="Q474" s="1"/>
      <c r="R474" s="1"/>
      <c r="S474" s="84"/>
      <c r="T474" s="84"/>
      <c r="U474" s="1"/>
      <c r="V474" s="1"/>
      <c r="W474" s="1"/>
      <c r="X474" s="1"/>
      <c r="Y474" s="1"/>
      <c r="Z474" s="1"/>
      <c r="AA474" s="1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ht="15.75" customHeight="1">
      <c r="A475" s="1"/>
      <c r="B475" s="108"/>
      <c r="C475" s="108"/>
      <c r="D475" s="151"/>
      <c r="E475" s="109"/>
      <c r="F475" s="108"/>
      <c r="G475" s="109"/>
      <c r="H475" s="109"/>
      <c r="I475" s="108"/>
      <c r="J475" s="1"/>
      <c r="K475" s="1"/>
      <c r="L475" s="1"/>
      <c r="M475" s="111"/>
      <c r="N475" s="113"/>
      <c r="O475" s="55"/>
      <c r="P475" s="113"/>
      <c r="Q475" s="1"/>
      <c r="R475" s="1"/>
      <c r="S475" s="84"/>
      <c r="T475" s="84"/>
      <c r="U475" s="1"/>
      <c r="V475" s="1"/>
      <c r="W475" s="1"/>
      <c r="X475" s="1"/>
      <c r="Y475" s="1"/>
      <c r="Z475" s="1"/>
      <c r="AA475" s="1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ht="15.75" customHeight="1">
      <c r="A476" s="1"/>
      <c r="B476" s="108"/>
      <c r="C476" s="108"/>
      <c r="D476" s="151"/>
      <c r="E476" s="109"/>
      <c r="F476" s="108"/>
      <c r="G476" s="109"/>
      <c r="H476" s="109"/>
      <c r="I476" s="108"/>
      <c r="J476" s="1"/>
      <c r="K476" s="1"/>
      <c r="L476" s="1"/>
      <c r="M476" s="111"/>
      <c r="N476" s="113"/>
      <c r="O476" s="55"/>
      <c r="P476" s="113"/>
      <c r="Q476" s="1"/>
      <c r="R476" s="1"/>
      <c r="S476" s="84"/>
      <c r="T476" s="84"/>
      <c r="U476" s="1"/>
      <c r="V476" s="1"/>
      <c r="W476" s="1"/>
      <c r="X476" s="1"/>
      <c r="Y476" s="1"/>
      <c r="Z476" s="1"/>
      <c r="AA476" s="1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ht="15.75" customHeight="1">
      <c r="A477" s="1"/>
      <c r="B477" s="108"/>
      <c r="C477" s="108"/>
      <c r="D477" s="151"/>
      <c r="E477" s="109"/>
      <c r="F477" s="108"/>
      <c r="G477" s="109"/>
      <c r="H477" s="109"/>
      <c r="I477" s="108"/>
      <c r="J477" s="1"/>
      <c r="K477" s="1"/>
      <c r="L477" s="1"/>
      <c r="M477" s="111"/>
      <c r="N477" s="113"/>
      <c r="O477" s="55"/>
      <c r="P477" s="113"/>
      <c r="Q477" s="1"/>
      <c r="R477" s="1"/>
      <c r="S477" s="84"/>
      <c r="T477" s="84"/>
      <c r="U477" s="1"/>
      <c r="V477" s="1"/>
      <c r="W477" s="1"/>
      <c r="X477" s="1"/>
      <c r="Y477" s="1"/>
      <c r="Z477" s="1"/>
      <c r="AA477" s="1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ht="15.75" customHeight="1">
      <c r="A478" s="1"/>
      <c r="B478" s="108"/>
      <c r="C478" s="108"/>
      <c r="D478" s="151"/>
      <c r="E478" s="109"/>
      <c r="F478" s="108"/>
      <c r="G478" s="109"/>
      <c r="H478" s="109"/>
      <c r="I478" s="108"/>
      <c r="J478" s="1"/>
      <c r="K478" s="1"/>
      <c r="L478" s="1"/>
      <c r="M478" s="113"/>
      <c r="N478" s="113"/>
      <c r="O478" s="55"/>
      <c r="P478" s="113"/>
      <c r="Q478" s="1"/>
      <c r="R478" s="1"/>
      <c r="S478" s="84"/>
      <c r="T478" s="84"/>
      <c r="U478" s="1"/>
      <c r="V478" s="1"/>
      <c r="W478" s="1"/>
      <c r="X478" s="1"/>
      <c r="Y478" s="1"/>
      <c r="Z478" s="1"/>
      <c r="AA478" s="1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ht="15.75" customHeight="1">
      <c r="A479" s="1"/>
      <c r="B479" s="108"/>
      <c r="C479" s="108"/>
      <c r="D479" s="151"/>
      <c r="E479" s="109"/>
      <c r="F479" s="108"/>
      <c r="G479" s="109"/>
      <c r="H479" s="109"/>
      <c r="I479" s="108"/>
      <c r="J479" s="1"/>
      <c r="K479" s="1"/>
      <c r="L479" s="1"/>
      <c r="M479" s="113"/>
      <c r="N479" s="113"/>
      <c r="O479" s="55"/>
      <c r="P479" s="113"/>
      <c r="Q479" s="1"/>
      <c r="R479" s="1"/>
      <c r="S479" s="84"/>
      <c r="T479" s="84"/>
      <c r="U479" s="1"/>
      <c r="V479" s="1"/>
      <c r="W479" s="1"/>
      <c r="X479" s="1"/>
      <c r="Y479" s="1"/>
      <c r="Z479" s="1"/>
      <c r="AA479" s="1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ht="15.75" customHeight="1">
      <c r="A480" s="1"/>
      <c r="B480" s="108"/>
      <c r="C480" s="108"/>
      <c r="D480" s="151"/>
      <c r="E480" s="109"/>
      <c r="F480" s="108"/>
      <c r="G480" s="109"/>
      <c r="H480" s="109"/>
      <c r="I480" s="108"/>
      <c r="J480" s="1"/>
      <c r="K480" s="1"/>
      <c r="L480" s="1"/>
      <c r="M480" s="113"/>
      <c r="N480" s="113"/>
      <c r="O480" s="1"/>
      <c r="P480" s="113"/>
      <c r="Q480" s="1"/>
      <c r="R480" s="1"/>
      <c r="S480" s="84"/>
      <c r="T480" s="84"/>
      <c r="U480" s="1"/>
      <c r="V480" s="1"/>
      <c r="W480" s="1"/>
      <c r="X480" s="1"/>
      <c r="Y480" s="1"/>
      <c r="Z480" s="1"/>
      <c r="AA480" s="1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ht="15.75" customHeight="1">
      <c r="A532" s="1"/>
      <c r="B532" s="16"/>
      <c r="C532" s="16"/>
      <c r="D532" s="16"/>
      <c r="E532" s="16"/>
      <c r="F532" s="16"/>
      <c r="G532" s="16"/>
      <c r="H532" s="16"/>
      <c r="I532" s="1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ht="15.75" customHeight="1">
      <c r="A533" s="1"/>
      <c r="B533" s="109"/>
      <c r="C533" s="109"/>
      <c r="D533" s="151"/>
      <c r="E533" s="109"/>
      <c r="F533" s="108"/>
      <c r="G533" s="109"/>
      <c r="H533" s="109"/>
      <c r="I533" s="109"/>
      <c r="J533" s="1"/>
      <c r="K533" s="1"/>
      <c r="L533" s="1"/>
      <c r="M533" s="111"/>
      <c r="N533" s="111"/>
      <c r="O533" s="113"/>
      <c r="P533" s="11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ht="15.75" customHeight="1">
      <c r="A534" s="1"/>
      <c r="B534" s="108"/>
      <c r="C534" s="108"/>
      <c r="D534" s="151"/>
      <c r="E534" s="109"/>
      <c r="F534" s="108"/>
      <c r="G534" s="108"/>
      <c r="H534" s="109"/>
      <c r="I534" s="108"/>
      <c r="J534" s="1"/>
      <c r="K534" s="1"/>
      <c r="L534" s="1"/>
      <c r="M534" s="111"/>
      <c r="N534" s="111"/>
      <c r="O534" s="55"/>
      <c r="P534" s="111"/>
      <c r="Q534" s="1"/>
      <c r="R534" s="1"/>
      <c r="S534" s="84"/>
      <c r="T534" s="84"/>
      <c r="U534" s="1"/>
      <c r="V534" s="1"/>
      <c r="W534" s="1"/>
      <c r="X534" s="1"/>
      <c r="Y534" s="1"/>
      <c r="Z534" s="1"/>
      <c r="AA534" s="1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ht="15.75" customHeight="1">
      <c r="A535" s="1"/>
      <c r="B535" s="108"/>
      <c r="C535" s="108"/>
      <c r="D535" s="151"/>
      <c r="E535" s="109"/>
      <c r="F535" s="108"/>
      <c r="G535" s="109"/>
      <c r="H535" s="109"/>
      <c r="I535" s="108"/>
      <c r="J535" s="1"/>
      <c r="K535" s="1"/>
      <c r="L535" s="1"/>
      <c r="M535" s="111"/>
      <c r="N535" s="111"/>
      <c r="O535" s="55"/>
      <c r="P535" s="111"/>
      <c r="Q535" s="1"/>
      <c r="R535" s="1"/>
      <c r="S535" s="84"/>
      <c r="T535" s="84"/>
      <c r="U535" s="1"/>
      <c r="V535" s="1"/>
      <c r="W535" s="1"/>
      <c r="X535" s="1"/>
      <c r="Y535" s="1"/>
      <c r="Z535" s="1"/>
      <c r="AA535" s="1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ht="15.75" customHeight="1">
      <c r="A536" s="1"/>
      <c r="B536" s="108"/>
      <c r="C536" s="108"/>
      <c r="D536" s="151"/>
      <c r="E536" s="109"/>
      <c r="F536" s="108"/>
      <c r="G536" s="109"/>
      <c r="H536" s="109"/>
      <c r="I536" s="108"/>
      <c r="J536" s="1"/>
      <c r="K536" s="1"/>
      <c r="L536" s="1"/>
      <c r="M536" s="111"/>
      <c r="N536" s="111"/>
      <c r="O536" s="55"/>
      <c r="P536" s="111"/>
      <c r="Q536" s="1"/>
      <c r="R536" s="1"/>
      <c r="S536" s="84"/>
      <c r="T536" s="84"/>
      <c r="U536" s="1"/>
      <c r="V536" s="1"/>
      <c r="W536" s="1"/>
      <c r="X536" s="1"/>
      <c r="Y536" s="1"/>
      <c r="Z536" s="1"/>
      <c r="AA536" s="1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ht="15.75" customHeight="1">
      <c r="A537" s="1"/>
      <c r="B537" s="108"/>
      <c r="C537" s="108"/>
      <c r="D537" s="151"/>
      <c r="E537" s="109"/>
      <c r="F537" s="108"/>
      <c r="G537" s="109"/>
      <c r="H537" s="109"/>
      <c r="I537" s="108"/>
      <c r="J537" s="1"/>
      <c r="K537" s="1"/>
      <c r="L537" s="1"/>
      <c r="M537" s="111"/>
      <c r="N537" s="111"/>
      <c r="O537" s="55"/>
      <c r="P537" s="111"/>
      <c r="Q537" s="1"/>
      <c r="R537" s="1"/>
      <c r="S537" s="84"/>
      <c r="T537" s="84"/>
      <c r="U537" s="1"/>
      <c r="V537" s="1"/>
      <c r="W537" s="1"/>
      <c r="X537" s="1"/>
      <c r="Y537" s="1"/>
      <c r="Z537" s="1"/>
      <c r="AA537" s="1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</row>
    <row r="538" ht="15.75" customHeight="1">
      <c r="A538" s="1"/>
      <c r="B538" s="108"/>
      <c r="C538" s="108"/>
      <c r="D538" s="151"/>
      <c r="E538" s="109"/>
      <c r="F538" s="108"/>
      <c r="G538" s="109"/>
      <c r="H538" s="109"/>
      <c r="I538" s="108"/>
      <c r="J538" s="1"/>
      <c r="K538" s="1"/>
      <c r="L538" s="1"/>
      <c r="M538" s="111"/>
      <c r="N538" s="111"/>
      <c r="O538" s="55"/>
      <c r="P538" s="111"/>
      <c r="Q538" s="1"/>
      <c r="R538" s="1"/>
      <c r="S538" s="84"/>
      <c r="T538" s="84"/>
      <c r="U538" s="1"/>
      <c r="V538" s="1"/>
      <c r="W538" s="1"/>
      <c r="X538" s="1"/>
      <c r="Y538" s="1"/>
      <c r="Z538" s="1"/>
      <c r="AA538" s="1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</row>
    <row r="539" ht="15.75" customHeight="1">
      <c r="A539" s="1"/>
      <c r="B539" s="108"/>
      <c r="C539" s="108"/>
      <c r="D539" s="151"/>
      <c r="E539" s="109"/>
      <c r="F539" s="108"/>
      <c r="G539" s="109"/>
      <c r="H539" s="109"/>
      <c r="I539" s="108"/>
      <c r="J539" s="1"/>
      <c r="K539" s="1"/>
      <c r="L539" s="1"/>
      <c r="M539" s="111"/>
      <c r="N539" s="111"/>
      <c r="O539" s="55"/>
      <c r="P539" s="111"/>
      <c r="Q539" s="1"/>
      <c r="R539" s="1"/>
      <c r="S539" s="84"/>
      <c r="T539" s="84"/>
      <c r="U539" s="1"/>
      <c r="V539" s="1"/>
      <c r="W539" s="1"/>
      <c r="X539" s="1"/>
      <c r="Y539" s="1"/>
      <c r="Z539" s="1"/>
      <c r="AA539" s="1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</row>
    <row r="540" ht="15.75" customHeight="1">
      <c r="A540" s="1"/>
      <c r="B540" s="108"/>
      <c r="C540" s="108"/>
      <c r="D540" s="151"/>
      <c r="E540" s="109"/>
      <c r="F540" s="108"/>
      <c r="G540" s="109"/>
      <c r="H540" s="109"/>
      <c r="I540" s="108"/>
      <c r="J540" s="1"/>
      <c r="K540" s="1"/>
      <c r="L540" s="1"/>
      <c r="M540" s="111"/>
      <c r="N540" s="111"/>
      <c r="O540" s="55"/>
      <c r="P540" s="111"/>
      <c r="Q540" s="1"/>
      <c r="R540" s="1"/>
      <c r="S540" s="84"/>
      <c r="T540" s="84"/>
      <c r="U540" s="1"/>
      <c r="V540" s="1"/>
      <c r="W540" s="1"/>
      <c r="X540" s="1"/>
      <c r="Y540" s="1"/>
      <c r="Z540" s="1"/>
      <c r="AA540" s="1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ht="15.75" customHeight="1">
      <c r="A541" s="1"/>
      <c r="B541" s="108"/>
      <c r="C541" s="108"/>
      <c r="D541" s="151"/>
      <c r="E541" s="109"/>
      <c r="F541" s="108"/>
      <c r="G541" s="109"/>
      <c r="H541" s="109"/>
      <c r="I541" s="108"/>
      <c r="J541" s="1"/>
      <c r="K541" s="1"/>
      <c r="L541" s="1"/>
      <c r="M541" s="111"/>
      <c r="N541" s="111"/>
      <c r="O541" s="55"/>
      <c r="P541" s="111"/>
      <c r="Q541" s="1"/>
      <c r="R541" s="1"/>
      <c r="S541" s="84"/>
      <c r="T541" s="84"/>
      <c r="U541" s="1"/>
      <c r="V541" s="1"/>
      <c r="W541" s="1"/>
      <c r="X541" s="1"/>
      <c r="Y541" s="1"/>
      <c r="Z541" s="1"/>
      <c r="AA541" s="1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</row>
    <row r="542" ht="15.75" customHeight="1">
      <c r="A542" s="1"/>
      <c r="B542" s="108"/>
      <c r="C542" s="108"/>
      <c r="D542" s="151"/>
      <c r="E542" s="109"/>
      <c r="F542" s="108"/>
      <c r="G542" s="109"/>
      <c r="H542" s="109"/>
      <c r="I542" s="108"/>
      <c r="J542" s="1"/>
      <c r="K542" s="1"/>
      <c r="L542" s="1"/>
      <c r="M542" s="111"/>
      <c r="N542" s="111"/>
      <c r="O542" s="55"/>
      <c r="P542" s="111"/>
      <c r="Q542" s="1"/>
      <c r="R542" s="1"/>
      <c r="S542" s="84"/>
      <c r="T542" s="84"/>
      <c r="U542" s="1"/>
      <c r="V542" s="1"/>
      <c r="W542" s="1"/>
      <c r="X542" s="1"/>
      <c r="Y542" s="1"/>
      <c r="Z542" s="1"/>
      <c r="AA542" s="1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</row>
    <row r="543" ht="15.75" customHeight="1">
      <c r="A543" s="1"/>
      <c r="B543" s="108"/>
      <c r="C543" s="108"/>
      <c r="D543" s="151"/>
      <c r="E543" s="109"/>
      <c r="F543" s="108"/>
      <c r="G543" s="109"/>
      <c r="H543" s="109"/>
      <c r="I543" s="108"/>
      <c r="J543" s="1"/>
      <c r="K543" s="1"/>
      <c r="L543" s="1"/>
      <c r="M543" s="111"/>
      <c r="N543" s="111"/>
      <c r="O543" s="55"/>
      <c r="P543" s="111"/>
      <c r="Q543" s="1"/>
      <c r="R543" s="1"/>
      <c r="S543" s="84"/>
      <c r="T543" s="84"/>
      <c r="U543" s="1"/>
      <c r="V543" s="1"/>
      <c r="W543" s="1"/>
      <c r="X543" s="1"/>
      <c r="Y543" s="1"/>
      <c r="Z543" s="1"/>
      <c r="AA543" s="1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</row>
    <row r="544" ht="15.75" customHeight="1">
      <c r="A544" s="1"/>
      <c r="B544" s="108"/>
      <c r="C544" s="108"/>
      <c r="D544" s="151"/>
      <c r="E544" s="109"/>
      <c r="F544" s="108"/>
      <c r="G544" s="109"/>
      <c r="H544" s="109"/>
      <c r="I544" s="108"/>
      <c r="J544" s="1"/>
      <c r="K544" s="1"/>
      <c r="L544" s="1"/>
      <c r="M544" s="111"/>
      <c r="N544" s="111"/>
      <c r="O544" s="55"/>
      <c r="P544" s="111"/>
      <c r="Q544" s="1"/>
      <c r="R544" s="1"/>
      <c r="S544" s="84"/>
      <c r="T544" s="84"/>
      <c r="U544" s="1"/>
      <c r="V544" s="1"/>
      <c r="W544" s="1"/>
      <c r="X544" s="1"/>
      <c r="Y544" s="1"/>
      <c r="Z544" s="1"/>
      <c r="AA544" s="1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</row>
    <row r="545" ht="15.75" customHeight="1">
      <c r="A545" s="1"/>
      <c r="B545" s="108"/>
      <c r="C545" s="108"/>
      <c r="D545" s="151"/>
      <c r="E545" s="109"/>
      <c r="F545" s="108"/>
      <c r="G545" s="109"/>
      <c r="H545" s="109"/>
      <c r="I545" s="108"/>
      <c r="J545" s="1"/>
      <c r="K545" s="1"/>
      <c r="L545" s="1"/>
      <c r="M545" s="113"/>
      <c r="N545" s="113"/>
      <c r="O545" s="1"/>
      <c r="P545" s="113"/>
      <c r="Q545" s="1"/>
      <c r="R545" s="1"/>
      <c r="S545" s="84"/>
      <c r="T545" s="84"/>
      <c r="U545" s="1"/>
      <c r="V545" s="1"/>
      <c r="W545" s="1"/>
      <c r="X545" s="1"/>
      <c r="Y545" s="1"/>
      <c r="Z545" s="1"/>
      <c r="AA545" s="1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</row>
    <row r="546" ht="15.75" customHeight="1">
      <c r="A546" s="1"/>
      <c r="B546" s="108"/>
      <c r="C546" s="108"/>
      <c r="D546" s="151"/>
      <c r="E546" s="109"/>
      <c r="F546" s="108"/>
      <c r="G546" s="109"/>
      <c r="H546" s="109"/>
      <c r="I546" s="108"/>
      <c r="J546" s="1"/>
      <c r="K546" s="1"/>
      <c r="L546" s="1"/>
      <c r="M546" s="113"/>
      <c r="N546" s="113"/>
      <c r="O546" s="1"/>
      <c r="P546" s="113"/>
      <c r="Q546" s="1"/>
      <c r="R546" s="1"/>
      <c r="S546" s="84"/>
      <c r="T546" s="84"/>
      <c r="U546" s="1"/>
      <c r="V546" s="1"/>
      <c r="W546" s="1"/>
      <c r="X546" s="1"/>
      <c r="Y546" s="1"/>
      <c r="Z546" s="1"/>
      <c r="AA546" s="1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</row>
    <row r="547" ht="15.75" customHeight="1">
      <c r="A547" s="1"/>
      <c r="B547" s="108"/>
      <c r="C547" s="108"/>
      <c r="D547" s="151"/>
      <c r="E547" s="109"/>
      <c r="F547" s="108"/>
      <c r="G547" s="109"/>
      <c r="H547" s="109"/>
      <c r="I547" s="108"/>
      <c r="J547" s="1"/>
      <c r="K547" s="1"/>
      <c r="L547" s="1"/>
      <c r="M547" s="113"/>
      <c r="N547" s="113"/>
      <c r="O547" s="1"/>
      <c r="P547" s="113"/>
      <c r="Q547" s="1"/>
      <c r="R547" s="1"/>
      <c r="S547" s="84"/>
      <c r="T547" s="84"/>
      <c r="U547" s="1"/>
      <c r="V547" s="1"/>
      <c r="W547" s="1"/>
      <c r="X547" s="1"/>
      <c r="Y547" s="1"/>
      <c r="Z547" s="1"/>
      <c r="AA547" s="1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</row>
    <row r="548" ht="15.75" customHeight="1">
      <c r="A548" s="1"/>
      <c r="B548" s="108"/>
      <c r="C548" s="108"/>
      <c r="D548" s="151"/>
      <c r="E548" s="109"/>
      <c r="F548" s="108"/>
      <c r="G548" s="109"/>
      <c r="H548" s="109"/>
      <c r="I548" s="108"/>
      <c r="J548" s="1"/>
      <c r="K548" s="1"/>
      <c r="L548" s="1"/>
      <c r="M548" s="113"/>
      <c r="N548" s="113"/>
      <c r="O548" s="55"/>
      <c r="P548" s="113"/>
      <c r="Q548" s="1"/>
      <c r="R548" s="1"/>
      <c r="S548" s="84"/>
      <c r="T548" s="84"/>
      <c r="U548" s="1"/>
      <c r="V548" s="1"/>
      <c r="W548" s="1"/>
      <c r="X548" s="1"/>
      <c r="Y548" s="1"/>
      <c r="Z548" s="1"/>
      <c r="AA548" s="1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</row>
    <row r="549" ht="15.75" customHeight="1">
      <c r="A549" s="1"/>
      <c r="B549" s="108"/>
      <c r="C549" s="108"/>
      <c r="D549" s="151"/>
      <c r="E549" s="109"/>
      <c r="F549" s="108"/>
      <c r="G549" s="109"/>
      <c r="H549" s="109"/>
      <c r="I549" s="108"/>
      <c r="J549" s="1"/>
      <c r="K549" s="1"/>
      <c r="L549" s="1"/>
      <c r="M549" s="111"/>
      <c r="N549" s="113"/>
      <c r="O549" s="55"/>
      <c r="P549" s="113"/>
      <c r="Q549" s="1"/>
      <c r="R549" s="1"/>
      <c r="S549" s="84"/>
      <c r="T549" s="84"/>
      <c r="U549" s="1"/>
      <c r="V549" s="1"/>
      <c r="W549" s="1"/>
      <c r="X549" s="1"/>
      <c r="Y549" s="1"/>
      <c r="Z549" s="1"/>
      <c r="AA549" s="1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</row>
    <row r="550" ht="15.75" customHeight="1">
      <c r="A550" s="1"/>
      <c r="B550" s="108"/>
      <c r="C550" s="108"/>
      <c r="D550" s="151"/>
      <c r="E550" s="109"/>
      <c r="F550" s="108"/>
      <c r="G550" s="109"/>
      <c r="H550" s="109"/>
      <c r="I550" s="108"/>
      <c r="J550" s="1"/>
      <c r="K550" s="1"/>
      <c r="L550" s="1"/>
      <c r="M550" s="111"/>
      <c r="N550" s="113"/>
      <c r="O550" s="55"/>
      <c r="P550" s="113"/>
      <c r="Q550" s="1"/>
      <c r="R550" s="1"/>
      <c r="S550" s="84"/>
      <c r="T550" s="84"/>
      <c r="U550" s="1"/>
      <c r="V550" s="1"/>
      <c r="W550" s="1"/>
      <c r="X550" s="1"/>
      <c r="Y550" s="1"/>
      <c r="Z550" s="1"/>
      <c r="AA550" s="1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</row>
    <row r="551" ht="15.75" customHeight="1">
      <c r="A551" s="1"/>
      <c r="B551" s="108"/>
      <c r="C551" s="108"/>
      <c r="D551" s="151"/>
      <c r="E551" s="109"/>
      <c r="F551" s="108"/>
      <c r="G551" s="109"/>
      <c r="H551" s="109"/>
      <c r="I551" s="108"/>
      <c r="J551" s="1"/>
      <c r="K551" s="1"/>
      <c r="L551" s="1"/>
      <c r="M551" s="111"/>
      <c r="N551" s="113"/>
      <c r="O551" s="55"/>
      <c r="P551" s="113"/>
      <c r="Q551" s="1"/>
      <c r="R551" s="1"/>
      <c r="S551" s="84"/>
      <c r="T551" s="84"/>
      <c r="U551" s="1"/>
      <c r="V551" s="1"/>
      <c r="W551" s="1"/>
      <c r="X551" s="1"/>
      <c r="Y551" s="1"/>
      <c r="Z551" s="1"/>
      <c r="AA551" s="1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</row>
    <row r="552" ht="15.75" customHeight="1">
      <c r="A552" s="1"/>
      <c r="B552" s="108"/>
      <c r="C552" s="108"/>
      <c r="D552" s="151"/>
      <c r="E552" s="109"/>
      <c r="F552" s="108"/>
      <c r="G552" s="109"/>
      <c r="H552" s="109"/>
      <c r="I552" s="108"/>
      <c r="J552" s="1"/>
      <c r="K552" s="1"/>
      <c r="L552" s="1"/>
      <c r="M552" s="111"/>
      <c r="N552" s="113"/>
      <c r="O552" s="55"/>
      <c r="P552" s="113"/>
      <c r="Q552" s="1"/>
      <c r="R552" s="1"/>
      <c r="S552" s="84"/>
      <c r="T552" s="84"/>
      <c r="U552" s="1"/>
      <c r="V552" s="1"/>
      <c r="W552" s="1"/>
      <c r="X552" s="1"/>
      <c r="Y552" s="1"/>
      <c r="Z552" s="1"/>
      <c r="AA552" s="1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</row>
    <row r="553" ht="15.75" customHeight="1">
      <c r="A553" s="1"/>
      <c r="B553" s="108"/>
      <c r="C553" s="108"/>
      <c r="D553" s="151"/>
      <c r="E553" s="109"/>
      <c r="F553" s="108"/>
      <c r="G553" s="109"/>
      <c r="H553" s="109"/>
      <c r="I553" s="108"/>
      <c r="J553" s="1"/>
      <c r="K553" s="1"/>
      <c r="L553" s="1"/>
      <c r="M553" s="111"/>
      <c r="N553" s="113"/>
      <c r="O553" s="55"/>
      <c r="P553" s="113"/>
      <c r="Q553" s="1"/>
      <c r="R553" s="1"/>
      <c r="S553" s="84"/>
      <c r="T553" s="84"/>
      <c r="U553" s="1"/>
      <c r="V553" s="1"/>
      <c r="W553" s="1"/>
      <c r="X553" s="1"/>
      <c r="Y553" s="1"/>
      <c r="Z553" s="1"/>
      <c r="AA553" s="1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</row>
    <row r="554" ht="15.75" customHeight="1">
      <c r="A554" s="1"/>
      <c r="B554" s="108"/>
      <c r="C554" s="108"/>
      <c r="D554" s="151"/>
      <c r="E554" s="109"/>
      <c r="F554" s="108"/>
      <c r="G554" s="109"/>
      <c r="H554" s="109"/>
      <c r="I554" s="108"/>
      <c r="J554" s="1"/>
      <c r="K554" s="1"/>
      <c r="L554" s="1"/>
      <c r="M554" s="111"/>
      <c r="N554" s="113"/>
      <c r="O554" s="55"/>
      <c r="P554" s="113"/>
      <c r="Q554" s="1"/>
      <c r="R554" s="1"/>
      <c r="S554" s="84"/>
      <c r="T554" s="84"/>
      <c r="U554" s="1"/>
      <c r="V554" s="1"/>
      <c r="W554" s="1"/>
      <c r="X554" s="1"/>
      <c r="Y554" s="1"/>
      <c r="Z554" s="1"/>
      <c r="AA554" s="1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</row>
    <row r="555" ht="15.75" customHeight="1">
      <c r="A555" s="1"/>
      <c r="B555" s="108"/>
      <c r="C555" s="108"/>
      <c r="D555" s="151"/>
      <c r="E555" s="109"/>
      <c r="F555" s="108"/>
      <c r="G555" s="109"/>
      <c r="H555" s="109"/>
      <c r="I555" s="108"/>
      <c r="J555" s="1"/>
      <c r="K555" s="1"/>
      <c r="L555" s="1"/>
      <c r="M555" s="111"/>
      <c r="N555" s="113"/>
      <c r="O555" s="55"/>
      <c r="P555" s="113"/>
      <c r="Q555" s="1"/>
      <c r="R555" s="1"/>
      <c r="S555" s="84"/>
      <c r="T555" s="84"/>
      <c r="U555" s="1"/>
      <c r="V555" s="1"/>
      <c r="W555" s="1"/>
      <c r="X555" s="1"/>
      <c r="Y555" s="1"/>
      <c r="Z555" s="1"/>
      <c r="AA555" s="1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</row>
    <row r="556" ht="15.75" customHeight="1">
      <c r="A556" s="1"/>
      <c r="B556" s="108"/>
      <c r="C556" s="108"/>
      <c r="D556" s="151"/>
      <c r="E556" s="109"/>
      <c r="F556" s="108"/>
      <c r="G556" s="109"/>
      <c r="H556" s="109"/>
      <c r="I556" s="108"/>
      <c r="J556" s="1"/>
      <c r="K556" s="1"/>
      <c r="L556" s="1"/>
      <c r="M556" s="111"/>
      <c r="N556" s="113"/>
      <c r="O556" s="55"/>
      <c r="P556" s="113"/>
      <c r="Q556" s="1"/>
      <c r="R556" s="1"/>
      <c r="S556" s="84"/>
      <c r="T556" s="84"/>
      <c r="U556" s="1"/>
      <c r="V556" s="1"/>
      <c r="W556" s="1"/>
      <c r="X556" s="1"/>
      <c r="Y556" s="1"/>
      <c r="Z556" s="1"/>
      <c r="AA556" s="1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</row>
    <row r="557" ht="15.75" customHeight="1">
      <c r="A557" s="1"/>
      <c r="B557" s="108"/>
      <c r="C557" s="108"/>
      <c r="D557" s="151"/>
      <c r="E557" s="109"/>
      <c r="F557" s="108"/>
      <c r="G557" s="109"/>
      <c r="H557" s="109"/>
      <c r="I557" s="108"/>
      <c r="J557" s="1"/>
      <c r="K557" s="1"/>
      <c r="L557" s="1"/>
      <c r="M557" s="111"/>
      <c r="N557" s="113"/>
      <c r="O557" s="55"/>
      <c r="P557" s="113"/>
      <c r="Q557" s="1"/>
      <c r="R557" s="1"/>
      <c r="S557" s="84"/>
      <c r="T557" s="84"/>
      <c r="U557" s="1"/>
      <c r="V557" s="1"/>
      <c r="W557" s="1"/>
      <c r="X557" s="1"/>
      <c r="Y557" s="1"/>
      <c r="Z557" s="1"/>
      <c r="AA557" s="1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</row>
    <row r="558" ht="15.75" customHeight="1">
      <c r="A558" s="1"/>
      <c r="B558" s="108"/>
      <c r="C558" s="108"/>
      <c r="D558" s="151"/>
      <c r="E558" s="109"/>
      <c r="F558" s="108"/>
      <c r="G558" s="109"/>
      <c r="H558" s="109"/>
      <c r="I558" s="108"/>
      <c r="J558" s="1"/>
      <c r="K558" s="1"/>
      <c r="L558" s="1"/>
      <c r="M558" s="113"/>
      <c r="N558" s="113"/>
      <c r="O558" s="55"/>
      <c r="P558" s="113"/>
      <c r="Q558" s="1"/>
      <c r="R558" s="1"/>
      <c r="S558" s="84"/>
      <c r="T558" s="84"/>
      <c r="U558" s="1"/>
      <c r="V558" s="1"/>
      <c r="W558" s="1"/>
      <c r="X558" s="1"/>
      <c r="Y558" s="1"/>
      <c r="Z558" s="1"/>
      <c r="AA558" s="1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</row>
    <row r="559" ht="15.75" customHeight="1">
      <c r="A559" s="1"/>
      <c r="B559" s="108"/>
      <c r="C559" s="108"/>
      <c r="D559" s="151"/>
      <c r="E559" s="109"/>
      <c r="F559" s="108"/>
      <c r="G559" s="109"/>
      <c r="H559" s="109"/>
      <c r="I559" s="108"/>
      <c r="J559" s="1"/>
      <c r="K559" s="1"/>
      <c r="L559" s="1"/>
      <c r="M559" s="113"/>
      <c r="N559" s="113"/>
      <c r="O559" s="55"/>
      <c r="P559" s="113"/>
      <c r="Q559" s="1"/>
      <c r="R559" s="1"/>
      <c r="S559" s="84"/>
      <c r="T559" s="84"/>
      <c r="U559" s="1"/>
      <c r="V559" s="1"/>
      <c r="W559" s="1"/>
      <c r="X559" s="1"/>
      <c r="Y559" s="1"/>
      <c r="Z559" s="1"/>
      <c r="AA559" s="1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</row>
    <row r="560" ht="15.75" customHeight="1">
      <c r="A560" s="1"/>
      <c r="B560" s="108"/>
      <c r="C560" s="108"/>
      <c r="D560" s="151"/>
      <c r="E560" s="109"/>
      <c r="F560" s="108"/>
      <c r="G560" s="109"/>
      <c r="H560" s="109"/>
      <c r="I560" s="108"/>
      <c r="J560" s="1"/>
      <c r="K560" s="1"/>
      <c r="L560" s="1"/>
      <c r="M560" s="113"/>
      <c r="N560" s="113"/>
      <c r="O560" s="1"/>
      <c r="P560" s="113"/>
      <c r="Q560" s="1"/>
      <c r="R560" s="1"/>
      <c r="S560" s="84"/>
      <c r="T560" s="84"/>
      <c r="U560" s="1"/>
      <c r="V560" s="1"/>
      <c r="W560" s="1"/>
      <c r="X560" s="1"/>
      <c r="Y560" s="1"/>
      <c r="Z560" s="1"/>
      <c r="AA560" s="1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</row>
    <row r="612" ht="15.75" customHeight="1">
      <c r="A612" s="1"/>
      <c r="B612" s="16"/>
      <c r="C612" s="16"/>
      <c r="D612" s="16"/>
      <c r="E612" s="16"/>
      <c r="F612" s="16"/>
      <c r="G612" s="16"/>
      <c r="H612" s="16"/>
      <c r="I612" s="1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</row>
    <row r="613" ht="15.75" customHeight="1">
      <c r="A613" s="1"/>
      <c r="B613" s="109"/>
      <c r="C613" s="109"/>
      <c r="D613" s="151"/>
      <c r="E613" s="109"/>
      <c r="F613" s="108"/>
      <c r="G613" s="109"/>
      <c r="H613" s="109"/>
      <c r="I613" s="109"/>
      <c r="J613" s="1"/>
      <c r="K613" s="1"/>
      <c r="L613" s="1"/>
      <c r="M613" s="111"/>
      <c r="N613" s="111"/>
      <c r="O613" s="113"/>
      <c r="P613" s="11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</row>
    <row r="614" ht="15.75" customHeight="1">
      <c r="A614" s="1"/>
      <c r="B614" s="108"/>
      <c r="C614" s="108"/>
      <c r="D614" s="151"/>
      <c r="E614" s="109"/>
      <c r="F614" s="108"/>
      <c r="G614" s="108"/>
      <c r="H614" s="109"/>
      <c r="I614" s="108"/>
      <c r="J614" s="1"/>
      <c r="K614" s="1"/>
      <c r="L614" s="1"/>
      <c r="M614" s="111"/>
      <c r="N614" s="111"/>
      <c r="O614" s="55"/>
      <c r="P614" s="111"/>
      <c r="Q614" s="1"/>
      <c r="R614" s="1"/>
      <c r="S614" s="84"/>
      <c r="T614" s="84"/>
      <c r="U614" s="1"/>
      <c r="V614" s="1"/>
      <c r="W614" s="1"/>
      <c r="X614" s="1"/>
      <c r="Y614" s="1"/>
      <c r="Z614" s="1"/>
      <c r="AA614" s="1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</row>
    <row r="615" ht="15.75" customHeight="1">
      <c r="A615" s="1"/>
      <c r="B615" s="108"/>
      <c r="C615" s="108"/>
      <c r="D615" s="151"/>
      <c r="E615" s="109"/>
      <c r="F615" s="108"/>
      <c r="G615" s="109"/>
      <c r="H615" s="109"/>
      <c r="I615" s="108"/>
      <c r="J615" s="1"/>
      <c r="K615" s="1"/>
      <c r="L615" s="1"/>
      <c r="M615" s="111"/>
      <c r="N615" s="111"/>
      <c r="O615" s="55"/>
      <c r="P615" s="111"/>
      <c r="Q615" s="1"/>
      <c r="R615" s="1"/>
      <c r="S615" s="84"/>
      <c r="T615" s="84"/>
      <c r="U615" s="1"/>
      <c r="V615" s="1"/>
      <c r="W615" s="1"/>
      <c r="X615" s="1"/>
      <c r="Y615" s="1"/>
      <c r="Z615" s="1"/>
      <c r="AA615" s="1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</row>
    <row r="616" ht="15.75" customHeight="1">
      <c r="A616" s="1"/>
      <c r="B616" s="108"/>
      <c r="C616" s="108"/>
      <c r="D616" s="151"/>
      <c r="E616" s="109"/>
      <c r="F616" s="108"/>
      <c r="G616" s="109"/>
      <c r="H616" s="109"/>
      <c r="I616" s="108"/>
      <c r="J616" s="1"/>
      <c r="K616" s="1"/>
      <c r="L616" s="1"/>
      <c r="M616" s="111"/>
      <c r="N616" s="111"/>
      <c r="O616" s="55"/>
      <c r="P616" s="111"/>
      <c r="Q616" s="1"/>
      <c r="R616" s="1"/>
      <c r="S616" s="84"/>
      <c r="T616" s="84"/>
      <c r="U616" s="1"/>
      <c r="V616" s="1"/>
      <c r="W616" s="1"/>
      <c r="X616" s="1"/>
      <c r="Y616" s="1"/>
      <c r="Z616" s="1"/>
      <c r="AA616" s="1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</row>
    <row r="617" ht="15.75" customHeight="1">
      <c r="A617" s="1"/>
      <c r="B617" s="108"/>
      <c r="C617" s="108"/>
      <c r="D617" s="151"/>
      <c r="E617" s="109"/>
      <c r="F617" s="108"/>
      <c r="G617" s="109"/>
      <c r="H617" s="109"/>
      <c r="I617" s="108"/>
      <c r="J617" s="1"/>
      <c r="K617" s="1"/>
      <c r="L617" s="1"/>
      <c r="M617" s="111"/>
      <c r="N617" s="111"/>
      <c r="O617" s="55"/>
      <c r="P617" s="111"/>
      <c r="Q617" s="1"/>
      <c r="R617" s="1"/>
      <c r="S617" s="84"/>
      <c r="T617" s="84"/>
      <c r="U617" s="1"/>
      <c r="V617" s="1"/>
      <c r="W617" s="1"/>
      <c r="X617" s="1"/>
      <c r="Y617" s="1"/>
      <c r="Z617" s="1"/>
      <c r="AA617" s="1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</row>
    <row r="618" ht="15.75" customHeight="1">
      <c r="A618" s="1"/>
      <c r="B618" s="108"/>
      <c r="C618" s="108"/>
      <c r="D618" s="151"/>
      <c r="E618" s="109"/>
      <c r="F618" s="108"/>
      <c r="G618" s="109"/>
      <c r="H618" s="109"/>
      <c r="I618" s="108"/>
      <c r="J618" s="1"/>
      <c r="K618" s="1"/>
      <c r="L618" s="1"/>
      <c r="M618" s="111"/>
      <c r="N618" s="111"/>
      <c r="O618" s="55"/>
      <c r="P618" s="111"/>
      <c r="Q618" s="1"/>
      <c r="R618" s="1"/>
      <c r="S618" s="84"/>
      <c r="T618" s="84"/>
      <c r="U618" s="1"/>
      <c r="V618" s="1"/>
      <c r="W618" s="1"/>
      <c r="X618" s="1"/>
      <c r="Y618" s="1"/>
      <c r="Z618" s="1"/>
      <c r="AA618" s="1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</row>
    <row r="619" ht="15.75" customHeight="1">
      <c r="A619" s="1"/>
      <c r="B619" s="108"/>
      <c r="C619" s="108"/>
      <c r="D619" s="151"/>
      <c r="E619" s="109"/>
      <c r="F619" s="108"/>
      <c r="G619" s="109"/>
      <c r="H619" s="109"/>
      <c r="I619" s="108"/>
      <c r="J619" s="1"/>
      <c r="K619" s="1"/>
      <c r="L619" s="1"/>
      <c r="M619" s="111"/>
      <c r="N619" s="111"/>
      <c r="O619" s="55"/>
      <c r="P619" s="111"/>
      <c r="Q619" s="1"/>
      <c r="R619" s="1"/>
      <c r="S619" s="84"/>
      <c r="T619" s="84"/>
      <c r="U619" s="1"/>
      <c r="V619" s="1"/>
      <c r="W619" s="1"/>
      <c r="X619" s="1"/>
      <c r="Y619" s="1"/>
      <c r="Z619" s="1"/>
      <c r="AA619" s="1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</row>
    <row r="620" ht="15.75" customHeight="1">
      <c r="A620" s="1"/>
      <c r="B620" s="108"/>
      <c r="C620" s="108"/>
      <c r="D620" s="151"/>
      <c r="E620" s="109"/>
      <c r="F620" s="108"/>
      <c r="G620" s="109"/>
      <c r="H620" s="109"/>
      <c r="I620" s="108"/>
      <c r="J620" s="1"/>
      <c r="K620" s="1"/>
      <c r="L620" s="1"/>
      <c r="M620" s="111"/>
      <c r="N620" s="111"/>
      <c r="O620" s="55"/>
      <c r="P620" s="111"/>
      <c r="Q620" s="1"/>
      <c r="R620" s="1"/>
      <c r="S620" s="84"/>
      <c r="T620" s="84"/>
      <c r="U620" s="1"/>
      <c r="V620" s="1"/>
      <c r="W620" s="1"/>
      <c r="X620" s="1"/>
      <c r="Y620" s="1"/>
      <c r="Z620" s="1"/>
      <c r="AA620" s="1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</row>
    <row r="621" ht="15.75" customHeight="1">
      <c r="A621" s="1"/>
      <c r="B621" s="108"/>
      <c r="C621" s="108"/>
      <c r="D621" s="151"/>
      <c r="E621" s="109"/>
      <c r="F621" s="108"/>
      <c r="G621" s="109"/>
      <c r="H621" s="109"/>
      <c r="I621" s="108"/>
      <c r="J621" s="1"/>
      <c r="K621" s="1"/>
      <c r="L621" s="1"/>
      <c r="M621" s="111"/>
      <c r="N621" s="111"/>
      <c r="O621" s="55"/>
      <c r="P621" s="111"/>
      <c r="Q621" s="1"/>
      <c r="R621" s="1"/>
      <c r="S621" s="84"/>
      <c r="T621" s="84"/>
      <c r="U621" s="1"/>
      <c r="V621" s="1"/>
      <c r="W621" s="1"/>
      <c r="X621" s="1"/>
      <c r="Y621" s="1"/>
      <c r="Z621" s="1"/>
      <c r="AA621" s="1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</row>
    <row r="622" ht="15.75" customHeight="1">
      <c r="A622" s="1"/>
      <c r="B622" s="108"/>
      <c r="C622" s="108"/>
      <c r="D622" s="151"/>
      <c r="E622" s="109"/>
      <c r="F622" s="108"/>
      <c r="G622" s="109"/>
      <c r="H622" s="109"/>
      <c r="I622" s="108"/>
      <c r="J622" s="1"/>
      <c r="K622" s="1"/>
      <c r="L622" s="1"/>
      <c r="M622" s="111"/>
      <c r="N622" s="111"/>
      <c r="O622" s="55"/>
      <c r="P622" s="111"/>
      <c r="Q622" s="1"/>
      <c r="R622" s="1"/>
      <c r="S622" s="84"/>
      <c r="T622" s="84"/>
      <c r="U622" s="1"/>
      <c r="V622" s="1"/>
      <c r="W622" s="1"/>
      <c r="X622" s="1"/>
      <c r="Y622" s="1"/>
      <c r="Z622" s="1"/>
      <c r="AA622" s="1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</row>
    <row r="623" ht="15.75" customHeight="1">
      <c r="A623" s="1"/>
      <c r="B623" s="108"/>
      <c r="C623" s="108"/>
      <c r="D623" s="151"/>
      <c r="E623" s="109"/>
      <c r="F623" s="108"/>
      <c r="G623" s="109"/>
      <c r="H623" s="109"/>
      <c r="I623" s="108"/>
      <c r="J623" s="1"/>
      <c r="K623" s="1"/>
      <c r="L623" s="1"/>
      <c r="M623" s="111"/>
      <c r="N623" s="111"/>
      <c r="O623" s="55"/>
      <c r="P623" s="111"/>
      <c r="Q623" s="1"/>
      <c r="R623" s="1"/>
      <c r="S623" s="84"/>
      <c r="T623" s="84"/>
      <c r="U623" s="1"/>
      <c r="V623" s="1"/>
      <c r="W623" s="1"/>
      <c r="X623" s="1"/>
      <c r="Y623" s="1"/>
      <c r="Z623" s="1"/>
      <c r="AA623" s="1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</row>
    <row r="624" ht="15.75" customHeight="1">
      <c r="A624" s="1"/>
      <c r="B624" s="108"/>
      <c r="C624" s="108"/>
      <c r="D624" s="151"/>
      <c r="E624" s="109"/>
      <c r="F624" s="108"/>
      <c r="G624" s="109"/>
      <c r="H624" s="109"/>
      <c r="I624" s="108"/>
      <c r="J624" s="1"/>
      <c r="K624" s="1"/>
      <c r="L624" s="1"/>
      <c r="M624" s="111"/>
      <c r="N624" s="111"/>
      <c r="O624" s="55"/>
      <c r="P624" s="111"/>
      <c r="Q624" s="1"/>
      <c r="R624" s="1"/>
      <c r="S624" s="84"/>
      <c r="T624" s="84"/>
      <c r="U624" s="1"/>
      <c r="V624" s="1"/>
      <c r="W624" s="1"/>
      <c r="X624" s="1"/>
      <c r="Y624" s="1"/>
      <c r="Z624" s="1"/>
      <c r="AA624" s="1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</row>
    <row r="625" ht="15.75" customHeight="1">
      <c r="A625" s="1"/>
      <c r="B625" s="108"/>
      <c r="C625" s="108"/>
      <c r="D625" s="151"/>
      <c r="E625" s="109"/>
      <c r="F625" s="108"/>
      <c r="G625" s="109"/>
      <c r="H625" s="109"/>
      <c r="I625" s="108"/>
      <c r="J625" s="1"/>
      <c r="K625" s="1"/>
      <c r="L625" s="1"/>
      <c r="M625" s="113"/>
      <c r="N625" s="113"/>
      <c r="O625" s="1"/>
      <c r="P625" s="113"/>
      <c r="Q625" s="1"/>
      <c r="R625" s="1"/>
      <c r="S625" s="84"/>
      <c r="T625" s="84"/>
      <c r="U625" s="1"/>
      <c r="V625" s="1"/>
      <c r="W625" s="1"/>
      <c r="X625" s="1"/>
      <c r="Y625" s="1"/>
      <c r="Z625" s="1"/>
      <c r="AA625" s="1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</row>
    <row r="626" ht="15.75" customHeight="1">
      <c r="A626" s="1"/>
      <c r="B626" s="108"/>
      <c r="C626" s="108"/>
      <c r="D626" s="151"/>
      <c r="E626" s="109"/>
      <c r="F626" s="108"/>
      <c r="G626" s="109"/>
      <c r="H626" s="109"/>
      <c r="I626" s="108"/>
      <c r="J626" s="1"/>
      <c r="K626" s="1"/>
      <c r="L626" s="1"/>
      <c r="M626" s="113"/>
      <c r="N626" s="113"/>
      <c r="O626" s="1"/>
      <c r="P626" s="113"/>
      <c r="Q626" s="1"/>
      <c r="R626" s="1"/>
      <c r="S626" s="84"/>
      <c r="T626" s="84"/>
      <c r="U626" s="1"/>
      <c r="V626" s="1"/>
      <c r="W626" s="1"/>
      <c r="X626" s="1"/>
      <c r="Y626" s="1"/>
      <c r="Z626" s="1"/>
      <c r="AA626" s="1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</row>
    <row r="627" ht="15.75" customHeight="1">
      <c r="A627" s="1"/>
      <c r="B627" s="108"/>
      <c r="C627" s="108"/>
      <c r="D627" s="151"/>
      <c r="E627" s="109"/>
      <c r="F627" s="108"/>
      <c r="G627" s="109"/>
      <c r="H627" s="109"/>
      <c r="I627" s="108"/>
      <c r="J627" s="1"/>
      <c r="K627" s="1"/>
      <c r="L627" s="1"/>
      <c r="M627" s="113"/>
      <c r="N627" s="113"/>
      <c r="O627" s="1"/>
      <c r="P627" s="113"/>
      <c r="Q627" s="1"/>
      <c r="R627" s="1"/>
      <c r="S627" s="84"/>
      <c r="T627" s="84"/>
      <c r="U627" s="1"/>
      <c r="V627" s="1"/>
      <c r="W627" s="1"/>
      <c r="X627" s="1"/>
      <c r="Y627" s="1"/>
      <c r="Z627" s="1"/>
      <c r="AA627" s="1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</row>
    <row r="628" ht="15.75" customHeight="1">
      <c r="A628" s="1"/>
      <c r="B628" s="108"/>
      <c r="C628" s="108"/>
      <c r="D628" s="151"/>
      <c r="E628" s="109"/>
      <c r="F628" s="108"/>
      <c r="G628" s="109"/>
      <c r="H628" s="109"/>
      <c r="I628" s="108"/>
      <c r="J628" s="1"/>
      <c r="K628" s="1"/>
      <c r="L628" s="1"/>
      <c r="M628" s="113"/>
      <c r="N628" s="113"/>
      <c r="O628" s="55"/>
      <c r="P628" s="113"/>
      <c r="Q628" s="1"/>
      <c r="R628" s="1"/>
      <c r="S628" s="84"/>
      <c r="T628" s="84"/>
      <c r="U628" s="1"/>
      <c r="V628" s="1"/>
      <c r="W628" s="1"/>
      <c r="X628" s="1"/>
      <c r="Y628" s="1"/>
      <c r="Z628" s="1"/>
      <c r="AA628" s="1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</row>
    <row r="629" ht="15.75" customHeight="1">
      <c r="A629" s="1"/>
      <c r="B629" s="108"/>
      <c r="C629" s="108"/>
      <c r="D629" s="151"/>
      <c r="E629" s="109"/>
      <c r="F629" s="108"/>
      <c r="G629" s="109"/>
      <c r="H629" s="109"/>
      <c r="I629" s="108"/>
      <c r="J629" s="1"/>
      <c r="K629" s="1"/>
      <c r="L629" s="1"/>
      <c r="M629" s="111"/>
      <c r="N629" s="113"/>
      <c r="O629" s="55"/>
      <c r="P629" s="113"/>
      <c r="Q629" s="1"/>
      <c r="R629" s="1"/>
      <c r="S629" s="84"/>
      <c r="T629" s="84"/>
      <c r="U629" s="1"/>
      <c r="V629" s="1"/>
      <c r="W629" s="1"/>
      <c r="X629" s="1"/>
      <c r="Y629" s="1"/>
      <c r="Z629" s="1"/>
      <c r="AA629" s="1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</row>
    <row r="630" ht="15.75" customHeight="1">
      <c r="A630" s="1"/>
      <c r="B630" s="108"/>
      <c r="C630" s="108"/>
      <c r="D630" s="151"/>
      <c r="E630" s="109"/>
      <c r="F630" s="108"/>
      <c r="G630" s="109"/>
      <c r="H630" s="109"/>
      <c r="I630" s="108"/>
      <c r="J630" s="1"/>
      <c r="K630" s="1"/>
      <c r="L630" s="1"/>
      <c r="M630" s="111"/>
      <c r="N630" s="113"/>
      <c r="O630" s="55"/>
      <c r="P630" s="113"/>
      <c r="Q630" s="1"/>
      <c r="R630" s="1"/>
      <c r="S630" s="84"/>
      <c r="T630" s="84"/>
      <c r="U630" s="1"/>
      <c r="V630" s="1"/>
      <c r="W630" s="1"/>
      <c r="X630" s="1"/>
      <c r="Y630" s="1"/>
      <c r="Z630" s="1"/>
      <c r="AA630" s="1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</row>
    <row r="631" ht="15.75" customHeight="1">
      <c r="A631" s="1"/>
      <c r="B631" s="108"/>
      <c r="C631" s="108"/>
      <c r="D631" s="151"/>
      <c r="E631" s="109"/>
      <c r="F631" s="108"/>
      <c r="G631" s="109"/>
      <c r="H631" s="109"/>
      <c r="I631" s="108"/>
      <c r="J631" s="1"/>
      <c r="K631" s="1"/>
      <c r="L631" s="1"/>
      <c r="M631" s="111"/>
      <c r="N631" s="113"/>
      <c r="O631" s="55"/>
      <c r="P631" s="113"/>
      <c r="Q631" s="1"/>
      <c r="R631" s="1"/>
      <c r="S631" s="84"/>
      <c r="T631" s="84"/>
      <c r="U631" s="1"/>
      <c r="V631" s="1"/>
      <c r="W631" s="1"/>
      <c r="X631" s="1"/>
      <c r="Y631" s="1"/>
      <c r="Z631" s="1"/>
      <c r="AA631" s="1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</row>
    <row r="632" ht="15.75" customHeight="1">
      <c r="A632" s="1"/>
      <c r="B632" s="108"/>
      <c r="C632" s="108"/>
      <c r="D632" s="151"/>
      <c r="E632" s="109"/>
      <c r="F632" s="108"/>
      <c r="G632" s="109"/>
      <c r="H632" s="109"/>
      <c r="I632" s="108"/>
      <c r="J632" s="1"/>
      <c r="K632" s="1"/>
      <c r="L632" s="1"/>
      <c r="M632" s="111"/>
      <c r="N632" s="113"/>
      <c r="O632" s="55"/>
      <c r="P632" s="113"/>
      <c r="Q632" s="1"/>
      <c r="R632" s="1"/>
      <c r="S632" s="84"/>
      <c r="T632" s="84"/>
      <c r="U632" s="1"/>
      <c r="V632" s="1"/>
      <c r="W632" s="1"/>
      <c r="X632" s="1"/>
      <c r="Y632" s="1"/>
      <c r="Z632" s="1"/>
      <c r="AA632" s="1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</row>
    <row r="633" ht="15.75" customHeight="1">
      <c r="A633" s="1"/>
      <c r="B633" s="108"/>
      <c r="C633" s="108"/>
      <c r="D633" s="151"/>
      <c r="E633" s="109"/>
      <c r="F633" s="108"/>
      <c r="G633" s="109"/>
      <c r="H633" s="109"/>
      <c r="I633" s="108"/>
      <c r="J633" s="1"/>
      <c r="K633" s="1"/>
      <c r="L633" s="1"/>
      <c r="M633" s="111"/>
      <c r="N633" s="113"/>
      <c r="O633" s="55"/>
      <c r="P633" s="113"/>
      <c r="Q633" s="1"/>
      <c r="R633" s="1"/>
      <c r="S633" s="84"/>
      <c r="T633" s="84"/>
      <c r="U633" s="1"/>
      <c r="V633" s="1"/>
      <c r="W633" s="1"/>
      <c r="X633" s="1"/>
      <c r="Y633" s="1"/>
      <c r="Z633" s="1"/>
      <c r="AA633" s="1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</row>
    <row r="634" ht="15.75" customHeight="1">
      <c r="A634" s="1"/>
      <c r="B634" s="108"/>
      <c r="C634" s="108"/>
      <c r="D634" s="151"/>
      <c r="E634" s="109"/>
      <c r="F634" s="108"/>
      <c r="G634" s="109"/>
      <c r="H634" s="109"/>
      <c r="I634" s="108"/>
      <c r="J634" s="1"/>
      <c r="K634" s="1"/>
      <c r="L634" s="1"/>
      <c r="M634" s="111"/>
      <c r="N634" s="113"/>
      <c r="O634" s="55"/>
      <c r="P634" s="113"/>
      <c r="Q634" s="1"/>
      <c r="R634" s="1"/>
      <c r="S634" s="84"/>
      <c r="T634" s="84"/>
      <c r="U634" s="1"/>
      <c r="V634" s="1"/>
      <c r="W634" s="1"/>
      <c r="X634" s="1"/>
      <c r="Y634" s="1"/>
      <c r="Z634" s="1"/>
      <c r="AA634" s="1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</row>
    <row r="635" ht="15.75" customHeight="1">
      <c r="A635" s="1"/>
      <c r="B635" s="108"/>
      <c r="C635" s="108"/>
      <c r="D635" s="151"/>
      <c r="E635" s="109"/>
      <c r="F635" s="108"/>
      <c r="G635" s="109"/>
      <c r="H635" s="109"/>
      <c r="I635" s="108"/>
      <c r="J635" s="1"/>
      <c r="K635" s="1"/>
      <c r="L635" s="1"/>
      <c r="M635" s="111"/>
      <c r="N635" s="113"/>
      <c r="O635" s="55"/>
      <c r="P635" s="113"/>
      <c r="Q635" s="1"/>
      <c r="R635" s="1"/>
      <c r="S635" s="84"/>
      <c r="T635" s="84"/>
      <c r="U635" s="1"/>
      <c r="V635" s="1"/>
      <c r="W635" s="1"/>
      <c r="X635" s="1"/>
      <c r="Y635" s="1"/>
      <c r="Z635" s="1"/>
      <c r="AA635" s="1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</row>
    <row r="636" ht="15.75" customHeight="1">
      <c r="A636" s="1"/>
      <c r="B636" s="108"/>
      <c r="C636" s="108"/>
      <c r="D636" s="151"/>
      <c r="E636" s="109"/>
      <c r="F636" s="108"/>
      <c r="G636" s="109"/>
      <c r="H636" s="109"/>
      <c r="I636" s="108"/>
      <c r="J636" s="1"/>
      <c r="K636" s="1"/>
      <c r="L636" s="1"/>
      <c r="M636" s="111"/>
      <c r="N636" s="113"/>
      <c r="O636" s="55"/>
      <c r="P636" s="113"/>
      <c r="Q636" s="1"/>
      <c r="R636" s="1"/>
      <c r="S636" s="84"/>
      <c r="T636" s="84"/>
      <c r="U636" s="1"/>
      <c r="V636" s="1"/>
      <c r="W636" s="1"/>
      <c r="X636" s="1"/>
      <c r="Y636" s="1"/>
      <c r="Z636" s="1"/>
      <c r="AA636" s="1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</row>
    <row r="637" ht="15.75" customHeight="1">
      <c r="A637" s="1"/>
      <c r="B637" s="108"/>
      <c r="C637" s="108"/>
      <c r="D637" s="151"/>
      <c r="E637" s="109"/>
      <c r="F637" s="108"/>
      <c r="G637" s="109"/>
      <c r="H637" s="109"/>
      <c r="I637" s="108"/>
      <c r="J637" s="1"/>
      <c r="K637" s="1"/>
      <c r="L637" s="1"/>
      <c r="M637" s="111"/>
      <c r="N637" s="113"/>
      <c r="O637" s="55"/>
      <c r="P637" s="113"/>
      <c r="Q637" s="1"/>
      <c r="R637" s="1"/>
      <c r="S637" s="84"/>
      <c r="T637" s="84"/>
      <c r="U637" s="1"/>
      <c r="V637" s="1"/>
      <c r="W637" s="1"/>
      <c r="X637" s="1"/>
      <c r="Y637" s="1"/>
      <c r="Z637" s="1"/>
      <c r="AA637" s="1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</row>
    <row r="638" ht="15.75" customHeight="1">
      <c r="A638" s="1"/>
      <c r="B638" s="108"/>
      <c r="C638" s="108"/>
      <c r="D638" s="151"/>
      <c r="E638" s="109"/>
      <c r="F638" s="108"/>
      <c r="G638" s="109"/>
      <c r="H638" s="109"/>
      <c r="I638" s="108"/>
      <c r="J638" s="1"/>
      <c r="K638" s="1"/>
      <c r="L638" s="1"/>
      <c r="M638" s="113"/>
      <c r="N638" s="113"/>
      <c r="O638" s="55"/>
      <c r="P638" s="113"/>
      <c r="Q638" s="1"/>
      <c r="R638" s="1"/>
      <c r="S638" s="84"/>
      <c r="T638" s="84"/>
      <c r="U638" s="1"/>
      <c r="V638" s="1"/>
      <c r="W638" s="1"/>
      <c r="X638" s="1"/>
      <c r="Y638" s="1"/>
      <c r="Z638" s="1"/>
      <c r="AA638" s="1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</row>
    <row r="639" ht="15.75" customHeight="1">
      <c r="A639" s="1"/>
      <c r="B639" s="108"/>
      <c r="C639" s="108"/>
      <c r="D639" s="151"/>
      <c r="E639" s="109"/>
      <c r="F639" s="108"/>
      <c r="G639" s="109"/>
      <c r="H639" s="109"/>
      <c r="I639" s="108"/>
      <c r="J639" s="1"/>
      <c r="K639" s="1"/>
      <c r="L639" s="1"/>
      <c r="M639" s="113"/>
      <c r="N639" s="113"/>
      <c r="O639" s="55"/>
      <c r="P639" s="113"/>
      <c r="Q639" s="1"/>
      <c r="R639" s="1"/>
      <c r="S639" s="84"/>
      <c r="T639" s="84"/>
      <c r="U639" s="1"/>
      <c r="V639" s="1"/>
      <c r="W639" s="1"/>
      <c r="X639" s="1"/>
      <c r="Y639" s="1"/>
      <c r="Z639" s="1"/>
      <c r="AA639" s="1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</row>
    <row r="640" ht="15.75" customHeight="1">
      <c r="A640" s="1"/>
      <c r="B640" s="108"/>
      <c r="C640" s="108"/>
      <c r="D640" s="151"/>
      <c r="E640" s="109"/>
      <c r="F640" s="108"/>
      <c r="G640" s="109"/>
      <c r="H640" s="109"/>
      <c r="I640" s="108"/>
      <c r="J640" s="1"/>
      <c r="K640" s="1"/>
      <c r="L640" s="1"/>
      <c r="M640" s="113"/>
      <c r="N640" s="113"/>
      <c r="O640" s="1"/>
      <c r="P640" s="113"/>
      <c r="Q640" s="1"/>
      <c r="R640" s="1"/>
      <c r="S640" s="84"/>
      <c r="T640" s="84"/>
      <c r="U640" s="1"/>
      <c r="V640" s="1"/>
      <c r="W640" s="1"/>
      <c r="X640" s="1"/>
      <c r="Y640" s="1"/>
      <c r="Z640" s="1"/>
      <c r="AA640" s="1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</row>
    <row r="692" ht="15.75" customHeight="1">
      <c r="A692" s="1"/>
      <c r="B692" s="16"/>
      <c r="C692" s="16"/>
      <c r="D692" s="16"/>
      <c r="E692" s="16"/>
      <c r="F692" s="16"/>
      <c r="G692" s="16"/>
      <c r="H692" s="16"/>
      <c r="I692" s="1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</row>
    <row r="693" ht="15.75" customHeight="1">
      <c r="A693" s="1"/>
      <c r="B693" s="109"/>
      <c r="C693" s="109"/>
      <c r="D693" s="151"/>
      <c r="E693" s="109"/>
      <c r="F693" s="108"/>
      <c r="G693" s="109"/>
      <c r="H693" s="109"/>
      <c r="I693" s="109"/>
      <c r="J693" s="1"/>
      <c r="K693" s="1"/>
      <c r="L693" s="1"/>
      <c r="M693" s="111"/>
      <c r="N693" s="111"/>
      <c r="O693" s="113"/>
      <c r="P693" s="11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</row>
    <row r="694" ht="15.75" customHeight="1">
      <c r="A694" s="1"/>
      <c r="B694" s="108"/>
      <c r="C694" s="108"/>
      <c r="D694" s="151"/>
      <c r="E694" s="109"/>
      <c r="F694" s="108"/>
      <c r="G694" s="108"/>
      <c r="H694" s="109"/>
      <c r="I694" s="108"/>
      <c r="J694" s="1"/>
      <c r="K694" s="1"/>
      <c r="L694" s="1"/>
      <c r="M694" s="111"/>
      <c r="N694" s="111"/>
      <c r="O694" s="55"/>
      <c r="P694" s="111"/>
      <c r="Q694" s="1"/>
      <c r="R694" s="1"/>
      <c r="S694" s="84"/>
      <c r="T694" s="84"/>
      <c r="U694" s="1"/>
      <c r="V694" s="1"/>
      <c r="W694" s="1"/>
      <c r="X694" s="1"/>
      <c r="Y694" s="1"/>
      <c r="Z694" s="1"/>
      <c r="AA694" s="1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</row>
    <row r="695" ht="15.75" customHeight="1">
      <c r="A695" s="1"/>
      <c r="B695" s="108"/>
      <c r="C695" s="108"/>
      <c r="D695" s="151"/>
      <c r="E695" s="109"/>
      <c r="F695" s="108"/>
      <c r="G695" s="109"/>
      <c r="H695" s="109"/>
      <c r="I695" s="108"/>
      <c r="J695" s="1"/>
      <c r="K695" s="1"/>
      <c r="L695" s="1"/>
      <c r="M695" s="111"/>
      <c r="N695" s="111"/>
      <c r="O695" s="55"/>
      <c r="P695" s="111"/>
      <c r="Q695" s="1"/>
      <c r="R695" s="1"/>
      <c r="S695" s="84"/>
      <c r="T695" s="84"/>
      <c r="U695" s="1"/>
      <c r="V695" s="1"/>
      <c r="W695" s="1"/>
      <c r="X695" s="1"/>
      <c r="Y695" s="1"/>
      <c r="Z695" s="1"/>
      <c r="AA695" s="1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</row>
    <row r="696" ht="15.75" customHeight="1">
      <c r="A696" s="1"/>
      <c r="B696" s="108"/>
      <c r="C696" s="108"/>
      <c r="D696" s="151"/>
      <c r="E696" s="109"/>
      <c r="F696" s="108"/>
      <c r="G696" s="109"/>
      <c r="H696" s="109"/>
      <c r="I696" s="108"/>
      <c r="J696" s="1"/>
      <c r="K696" s="1"/>
      <c r="L696" s="1"/>
      <c r="M696" s="111"/>
      <c r="N696" s="111"/>
      <c r="O696" s="55"/>
      <c r="P696" s="111"/>
      <c r="Q696" s="1"/>
      <c r="R696" s="1"/>
      <c r="S696" s="84"/>
      <c r="T696" s="84"/>
      <c r="U696" s="1"/>
      <c r="V696" s="1"/>
      <c r="W696" s="1"/>
      <c r="X696" s="1"/>
      <c r="Y696" s="1"/>
      <c r="Z696" s="1"/>
      <c r="AA696" s="1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</row>
    <row r="697" ht="15.75" customHeight="1">
      <c r="A697" s="1"/>
      <c r="B697" s="108"/>
      <c r="C697" s="108"/>
      <c r="D697" s="151"/>
      <c r="E697" s="109"/>
      <c r="F697" s="108"/>
      <c r="G697" s="109"/>
      <c r="H697" s="109"/>
      <c r="I697" s="108"/>
      <c r="J697" s="1"/>
      <c r="K697" s="1"/>
      <c r="L697" s="1"/>
      <c r="M697" s="111"/>
      <c r="N697" s="111"/>
      <c r="O697" s="55"/>
      <c r="P697" s="111"/>
      <c r="Q697" s="1"/>
      <c r="R697" s="1"/>
      <c r="S697" s="84"/>
      <c r="T697" s="84"/>
      <c r="U697" s="1"/>
      <c r="V697" s="1"/>
      <c r="W697" s="1"/>
      <c r="X697" s="1"/>
      <c r="Y697" s="1"/>
      <c r="Z697" s="1"/>
      <c r="AA697" s="1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</row>
    <row r="698" ht="15.75" customHeight="1">
      <c r="A698" s="1"/>
      <c r="B698" s="108"/>
      <c r="C698" s="108"/>
      <c r="D698" s="151"/>
      <c r="E698" s="109"/>
      <c r="F698" s="108"/>
      <c r="G698" s="109"/>
      <c r="H698" s="109"/>
      <c r="I698" s="108"/>
      <c r="J698" s="1"/>
      <c r="K698" s="1"/>
      <c r="L698" s="1"/>
      <c r="M698" s="111"/>
      <c r="N698" s="111"/>
      <c r="O698" s="55"/>
      <c r="P698" s="111"/>
      <c r="Q698" s="1"/>
      <c r="R698" s="1"/>
      <c r="S698" s="84"/>
      <c r="T698" s="84"/>
      <c r="U698" s="1"/>
      <c r="V698" s="1"/>
      <c r="W698" s="1"/>
      <c r="X698" s="1"/>
      <c r="Y698" s="1"/>
      <c r="Z698" s="1"/>
      <c r="AA698" s="1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</row>
    <row r="699" ht="15.75" customHeight="1">
      <c r="A699" s="1"/>
      <c r="B699" s="108"/>
      <c r="C699" s="108"/>
      <c r="D699" s="151"/>
      <c r="E699" s="109"/>
      <c r="F699" s="108"/>
      <c r="G699" s="109"/>
      <c r="H699" s="109"/>
      <c r="I699" s="108"/>
      <c r="J699" s="1"/>
      <c r="K699" s="1"/>
      <c r="L699" s="1"/>
      <c r="M699" s="111"/>
      <c r="N699" s="111"/>
      <c r="O699" s="55"/>
      <c r="P699" s="111"/>
      <c r="Q699" s="1"/>
      <c r="R699" s="1"/>
      <c r="S699" s="84"/>
      <c r="T699" s="84"/>
      <c r="U699" s="1"/>
      <c r="V699" s="1"/>
      <c r="W699" s="1"/>
      <c r="X699" s="1"/>
      <c r="Y699" s="1"/>
      <c r="Z699" s="1"/>
      <c r="AA699" s="1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</row>
    <row r="700" ht="15.75" customHeight="1">
      <c r="A700" s="1"/>
      <c r="B700" s="108"/>
      <c r="C700" s="108"/>
      <c r="D700" s="151"/>
      <c r="E700" s="109"/>
      <c r="F700" s="108"/>
      <c r="G700" s="109"/>
      <c r="H700" s="109"/>
      <c r="I700" s="108"/>
      <c r="J700" s="1"/>
      <c r="K700" s="1"/>
      <c r="L700" s="1"/>
      <c r="M700" s="111"/>
      <c r="N700" s="111"/>
      <c r="O700" s="55"/>
      <c r="P700" s="111"/>
      <c r="Q700" s="1"/>
      <c r="R700" s="1"/>
      <c r="S700" s="84"/>
      <c r="T700" s="84"/>
      <c r="U700" s="1"/>
      <c r="V700" s="1"/>
      <c r="W700" s="1"/>
      <c r="X700" s="1"/>
      <c r="Y700" s="1"/>
      <c r="Z700" s="1"/>
      <c r="AA700" s="1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</row>
    <row r="701" ht="15.75" customHeight="1">
      <c r="A701" s="1"/>
      <c r="B701" s="108"/>
      <c r="C701" s="108"/>
      <c r="D701" s="151"/>
      <c r="E701" s="109"/>
      <c r="F701" s="108"/>
      <c r="G701" s="109"/>
      <c r="H701" s="109"/>
      <c r="I701" s="108"/>
      <c r="J701" s="1"/>
      <c r="K701" s="1"/>
      <c r="L701" s="1"/>
      <c r="M701" s="111"/>
      <c r="N701" s="111"/>
      <c r="O701" s="55"/>
      <c r="P701" s="111"/>
      <c r="Q701" s="1"/>
      <c r="R701" s="1"/>
      <c r="S701" s="84"/>
      <c r="T701" s="84"/>
      <c r="U701" s="1"/>
      <c r="V701" s="1"/>
      <c r="W701" s="1"/>
      <c r="X701" s="1"/>
      <c r="Y701" s="1"/>
      <c r="Z701" s="1"/>
      <c r="AA701" s="1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</row>
    <row r="702" ht="15.75" customHeight="1">
      <c r="A702" s="1"/>
      <c r="B702" s="108"/>
      <c r="C702" s="108"/>
      <c r="D702" s="151"/>
      <c r="E702" s="109"/>
      <c r="F702" s="108"/>
      <c r="G702" s="109"/>
      <c r="H702" s="109"/>
      <c r="I702" s="108"/>
      <c r="J702" s="1"/>
      <c r="K702" s="1"/>
      <c r="L702" s="1"/>
      <c r="M702" s="111"/>
      <c r="N702" s="111"/>
      <c r="O702" s="55"/>
      <c r="P702" s="111"/>
      <c r="Q702" s="1"/>
      <c r="R702" s="1"/>
      <c r="S702" s="84"/>
      <c r="T702" s="84"/>
      <c r="U702" s="1"/>
      <c r="V702" s="1"/>
      <c r="W702" s="1"/>
      <c r="X702" s="1"/>
      <c r="Y702" s="1"/>
      <c r="Z702" s="1"/>
      <c r="AA702" s="1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</row>
    <row r="703" ht="15.75" customHeight="1">
      <c r="A703" s="1"/>
      <c r="B703" s="108"/>
      <c r="C703" s="108"/>
      <c r="D703" s="151"/>
      <c r="E703" s="109"/>
      <c r="F703" s="108"/>
      <c r="G703" s="109"/>
      <c r="H703" s="109"/>
      <c r="I703" s="108"/>
      <c r="J703" s="1"/>
      <c r="K703" s="1"/>
      <c r="L703" s="1"/>
      <c r="M703" s="111"/>
      <c r="N703" s="111"/>
      <c r="O703" s="55"/>
      <c r="P703" s="111"/>
      <c r="Q703" s="1"/>
      <c r="R703" s="1"/>
      <c r="S703" s="84"/>
      <c r="T703" s="84"/>
      <c r="U703" s="1"/>
      <c r="V703" s="1"/>
      <c r="W703" s="1"/>
      <c r="X703" s="1"/>
      <c r="Y703" s="1"/>
      <c r="Z703" s="1"/>
      <c r="AA703" s="1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</row>
    <row r="704" ht="15.75" customHeight="1">
      <c r="A704" s="1"/>
      <c r="B704" s="108"/>
      <c r="C704" s="108"/>
      <c r="D704" s="151"/>
      <c r="E704" s="109"/>
      <c r="F704" s="108"/>
      <c r="G704" s="109"/>
      <c r="H704" s="109"/>
      <c r="I704" s="108"/>
      <c r="J704" s="1"/>
      <c r="K704" s="1"/>
      <c r="L704" s="1"/>
      <c r="M704" s="111"/>
      <c r="N704" s="111"/>
      <c r="O704" s="55"/>
      <c r="P704" s="111"/>
      <c r="Q704" s="1"/>
      <c r="R704" s="1"/>
      <c r="S704" s="84"/>
      <c r="T704" s="84"/>
      <c r="U704" s="1"/>
      <c r="V704" s="1"/>
      <c r="W704" s="1"/>
      <c r="X704" s="1"/>
      <c r="Y704" s="1"/>
      <c r="Z704" s="1"/>
      <c r="AA704" s="1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</row>
    <row r="705" ht="15.75" customHeight="1">
      <c r="A705" s="1"/>
      <c r="B705" s="108"/>
      <c r="C705" s="108"/>
      <c r="D705" s="151"/>
      <c r="E705" s="109"/>
      <c r="F705" s="108"/>
      <c r="G705" s="109"/>
      <c r="H705" s="109"/>
      <c r="I705" s="108"/>
      <c r="J705" s="1"/>
      <c r="K705" s="1"/>
      <c r="L705" s="1"/>
      <c r="M705" s="113"/>
      <c r="N705" s="113"/>
      <c r="O705" s="1"/>
      <c r="P705" s="113"/>
      <c r="Q705" s="1"/>
      <c r="R705" s="1"/>
      <c r="S705" s="84"/>
      <c r="T705" s="84"/>
      <c r="U705" s="1"/>
      <c r="V705" s="1"/>
      <c r="W705" s="1"/>
      <c r="X705" s="1"/>
      <c r="Y705" s="1"/>
      <c r="Z705" s="1"/>
      <c r="AA705" s="1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</row>
    <row r="706" ht="15.75" customHeight="1">
      <c r="A706" s="1"/>
      <c r="B706" s="108"/>
      <c r="C706" s="108"/>
      <c r="D706" s="151"/>
      <c r="E706" s="109"/>
      <c r="F706" s="108"/>
      <c r="G706" s="109"/>
      <c r="H706" s="109"/>
      <c r="I706" s="108"/>
      <c r="J706" s="1"/>
      <c r="K706" s="1"/>
      <c r="L706" s="1"/>
      <c r="M706" s="113"/>
      <c r="N706" s="113"/>
      <c r="O706" s="1"/>
      <c r="P706" s="113"/>
      <c r="Q706" s="1"/>
      <c r="R706" s="1"/>
      <c r="S706" s="84"/>
      <c r="T706" s="84"/>
      <c r="U706" s="1"/>
      <c r="V706" s="1"/>
      <c r="W706" s="1"/>
      <c r="X706" s="1"/>
      <c r="Y706" s="1"/>
      <c r="Z706" s="1"/>
      <c r="AA706" s="1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</row>
    <row r="707" ht="15.75" customHeight="1">
      <c r="A707" s="1"/>
      <c r="B707" s="108"/>
      <c r="C707" s="108"/>
      <c r="D707" s="151"/>
      <c r="E707" s="109"/>
      <c r="F707" s="108"/>
      <c r="G707" s="109"/>
      <c r="H707" s="109"/>
      <c r="I707" s="108"/>
      <c r="J707" s="1"/>
      <c r="K707" s="1"/>
      <c r="L707" s="1"/>
      <c r="M707" s="113"/>
      <c r="N707" s="113"/>
      <c r="O707" s="1"/>
      <c r="P707" s="113"/>
      <c r="Q707" s="1"/>
      <c r="R707" s="1"/>
      <c r="S707" s="84"/>
      <c r="T707" s="84"/>
      <c r="U707" s="1"/>
      <c r="V707" s="1"/>
      <c r="W707" s="1"/>
      <c r="X707" s="1"/>
      <c r="Y707" s="1"/>
      <c r="Z707" s="1"/>
      <c r="AA707" s="1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</row>
    <row r="708" ht="15.75" customHeight="1">
      <c r="A708" s="1"/>
      <c r="B708" s="108"/>
      <c r="C708" s="108"/>
      <c r="D708" s="151"/>
      <c r="E708" s="109"/>
      <c r="F708" s="108"/>
      <c r="G708" s="109"/>
      <c r="H708" s="109"/>
      <c r="I708" s="108"/>
      <c r="J708" s="1"/>
      <c r="K708" s="1"/>
      <c r="L708" s="1"/>
      <c r="M708" s="113"/>
      <c r="N708" s="113"/>
      <c r="O708" s="55"/>
      <c r="P708" s="113"/>
      <c r="Q708" s="1"/>
      <c r="R708" s="1"/>
      <c r="S708" s="84"/>
      <c r="T708" s="84"/>
      <c r="U708" s="1"/>
      <c r="V708" s="1"/>
      <c r="W708" s="1"/>
      <c r="X708" s="1"/>
      <c r="Y708" s="1"/>
      <c r="Z708" s="1"/>
      <c r="AA708" s="1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</row>
    <row r="709" ht="15.75" customHeight="1">
      <c r="A709" s="1"/>
      <c r="B709" s="108"/>
      <c r="C709" s="108"/>
      <c r="D709" s="151"/>
      <c r="E709" s="109"/>
      <c r="F709" s="108"/>
      <c r="G709" s="109"/>
      <c r="H709" s="109"/>
      <c r="I709" s="108"/>
      <c r="J709" s="1"/>
      <c r="K709" s="1"/>
      <c r="L709" s="1"/>
      <c r="M709" s="111"/>
      <c r="N709" s="113"/>
      <c r="O709" s="55"/>
      <c r="P709" s="113"/>
      <c r="Q709" s="1"/>
      <c r="R709" s="1"/>
      <c r="S709" s="84"/>
      <c r="T709" s="84"/>
      <c r="U709" s="1"/>
      <c r="V709" s="1"/>
      <c r="W709" s="1"/>
      <c r="X709" s="1"/>
      <c r="Y709" s="1"/>
      <c r="Z709" s="1"/>
      <c r="AA709" s="1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</row>
    <row r="710" ht="15.75" customHeight="1">
      <c r="A710" s="1"/>
      <c r="B710" s="108"/>
      <c r="C710" s="108"/>
      <c r="D710" s="151"/>
      <c r="E710" s="109"/>
      <c r="F710" s="108"/>
      <c r="G710" s="109"/>
      <c r="H710" s="109"/>
      <c r="I710" s="108"/>
      <c r="J710" s="1"/>
      <c r="K710" s="1"/>
      <c r="L710" s="1"/>
      <c r="M710" s="111"/>
      <c r="N710" s="113"/>
      <c r="O710" s="55"/>
      <c r="P710" s="113"/>
      <c r="Q710" s="1"/>
      <c r="R710" s="1"/>
      <c r="S710" s="84"/>
      <c r="T710" s="84"/>
      <c r="U710" s="1"/>
      <c r="V710" s="1"/>
      <c r="W710" s="1"/>
      <c r="X710" s="1"/>
      <c r="Y710" s="1"/>
      <c r="Z710" s="1"/>
      <c r="AA710" s="1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</row>
    <row r="711" ht="15.75" customHeight="1">
      <c r="A711" s="1"/>
      <c r="B711" s="108"/>
      <c r="C711" s="108"/>
      <c r="D711" s="151"/>
      <c r="E711" s="109"/>
      <c r="F711" s="108"/>
      <c r="G711" s="109"/>
      <c r="H711" s="109"/>
      <c r="I711" s="108"/>
      <c r="J711" s="1"/>
      <c r="K711" s="1"/>
      <c r="L711" s="1"/>
      <c r="M711" s="111"/>
      <c r="N711" s="113"/>
      <c r="O711" s="55"/>
      <c r="P711" s="113"/>
      <c r="Q711" s="1"/>
      <c r="R711" s="1"/>
      <c r="S711" s="84"/>
      <c r="T711" s="84"/>
      <c r="U711" s="1"/>
      <c r="V711" s="1"/>
      <c r="W711" s="1"/>
      <c r="X711" s="1"/>
      <c r="Y711" s="1"/>
      <c r="Z711" s="1"/>
      <c r="AA711" s="1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</row>
    <row r="712" ht="15.75" customHeight="1">
      <c r="A712" s="1"/>
      <c r="B712" s="108"/>
      <c r="C712" s="108"/>
      <c r="D712" s="151"/>
      <c r="E712" s="109"/>
      <c r="F712" s="108"/>
      <c r="G712" s="109"/>
      <c r="H712" s="109"/>
      <c r="I712" s="108"/>
      <c r="J712" s="1"/>
      <c r="K712" s="1"/>
      <c r="L712" s="1"/>
      <c r="M712" s="111"/>
      <c r="N712" s="113"/>
      <c r="O712" s="55"/>
      <c r="P712" s="113"/>
      <c r="Q712" s="1"/>
      <c r="R712" s="1"/>
      <c r="S712" s="84"/>
      <c r="T712" s="84"/>
      <c r="U712" s="1"/>
      <c r="V712" s="1"/>
      <c r="W712" s="1"/>
      <c r="X712" s="1"/>
      <c r="Y712" s="1"/>
      <c r="Z712" s="1"/>
      <c r="AA712" s="1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</row>
    <row r="713" ht="15.75" customHeight="1">
      <c r="A713" s="1"/>
      <c r="B713" s="108"/>
      <c r="C713" s="108"/>
      <c r="D713" s="151"/>
      <c r="E713" s="109"/>
      <c r="F713" s="108"/>
      <c r="G713" s="109"/>
      <c r="H713" s="109"/>
      <c r="I713" s="108"/>
      <c r="J713" s="1"/>
      <c r="K713" s="1"/>
      <c r="L713" s="1"/>
      <c r="M713" s="111"/>
      <c r="N713" s="113"/>
      <c r="O713" s="55"/>
      <c r="P713" s="113"/>
      <c r="Q713" s="1"/>
      <c r="R713" s="1"/>
      <c r="S713" s="84"/>
      <c r="T713" s="84"/>
      <c r="U713" s="1"/>
      <c r="V713" s="1"/>
      <c r="W713" s="1"/>
      <c r="X713" s="1"/>
      <c r="Y713" s="1"/>
      <c r="Z713" s="1"/>
      <c r="AA713" s="1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</row>
    <row r="714" ht="15.75" customHeight="1">
      <c r="A714" s="1"/>
      <c r="B714" s="108"/>
      <c r="C714" s="108"/>
      <c r="D714" s="151"/>
      <c r="E714" s="109"/>
      <c r="F714" s="108"/>
      <c r="G714" s="109"/>
      <c r="H714" s="109"/>
      <c r="I714" s="108"/>
      <c r="J714" s="1"/>
      <c r="K714" s="1"/>
      <c r="L714" s="1"/>
      <c r="M714" s="111"/>
      <c r="N714" s="113"/>
      <c r="O714" s="55"/>
      <c r="P714" s="113"/>
      <c r="Q714" s="1"/>
      <c r="R714" s="1"/>
      <c r="S714" s="84"/>
      <c r="T714" s="84"/>
      <c r="U714" s="1"/>
      <c r="V714" s="1"/>
      <c r="W714" s="1"/>
      <c r="X714" s="1"/>
      <c r="Y714" s="1"/>
      <c r="Z714" s="1"/>
      <c r="AA714" s="1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</row>
    <row r="715" ht="15.75" customHeight="1">
      <c r="A715" s="1"/>
      <c r="B715" s="108"/>
      <c r="C715" s="108"/>
      <c r="D715" s="151"/>
      <c r="E715" s="109"/>
      <c r="F715" s="108"/>
      <c r="G715" s="109"/>
      <c r="H715" s="109"/>
      <c r="I715" s="108"/>
      <c r="J715" s="1"/>
      <c r="K715" s="1"/>
      <c r="L715" s="1"/>
      <c r="M715" s="111"/>
      <c r="N715" s="113"/>
      <c r="O715" s="55"/>
      <c r="P715" s="113"/>
      <c r="Q715" s="1"/>
      <c r="R715" s="1"/>
      <c r="S715" s="84"/>
      <c r="T715" s="84"/>
      <c r="U715" s="1"/>
      <c r="V715" s="1"/>
      <c r="W715" s="1"/>
      <c r="X715" s="1"/>
      <c r="Y715" s="1"/>
      <c r="Z715" s="1"/>
      <c r="AA715" s="1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</row>
    <row r="716" ht="15.75" customHeight="1">
      <c r="A716" s="1"/>
      <c r="B716" s="108"/>
      <c r="C716" s="108"/>
      <c r="D716" s="151"/>
      <c r="E716" s="109"/>
      <c r="F716" s="108"/>
      <c r="G716" s="109"/>
      <c r="H716" s="109"/>
      <c r="I716" s="108"/>
      <c r="J716" s="1"/>
      <c r="K716" s="1"/>
      <c r="L716" s="1"/>
      <c r="M716" s="111"/>
      <c r="N716" s="113"/>
      <c r="O716" s="55"/>
      <c r="P716" s="113"/>
      <c r="Q716" s="1"/>
      <c r="R716" s="1"/>
      <c r="S716" s="84"/>
      <c r="T716" s="84"/>
      <c r="U716" s="1"/>
      <c r="V716" s="1"/>
      <c r="W716" s="1"/>
      <c r="X716" s="1"/>
      <c r="Y716" s="1"/>
      <c r="Z716" s="1"/>
      <c r="AA716" s="1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</row>
    <row r="717" ht="15.75" customHeight="1">
      <c r="A717" s="1"/>
      <c r="B717" s="108"/>
      <c r="C717" s="108"/>
      <c r="D717" s="151"/>
      <c r="E717" s="109"/>
      <c r="F717" s="108"/>
      <c r="G717" s="109"/>
      <c r="H717" s="109"/>
      <c r="I717" s="108"/>
      <c r="J717" s="1"/>
      <c r="K717" s="1"/>
      <c r="L717" s="1"/>
      <c r="M717" s="111"/>
      <c r="N717" s="113"/>
      <c r="O717" s="55"/>
      <c r="P717" s="113"/>
      <c r="Q717" s="1"/>
      <c r="R717" s="1"/>
      <c r="S717" s="84"/>
      <c r="T717" s="84"/>
      <c r="U717" s="1"/>
      <c r="V717" s="1"/>
      <c r="W717" s="1"/>
      <c r="X717" s="1"/>
      <c r="Y717" s="1"/>
      <c r="Z717" s="1"/>
      <c r="AA717" s="1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</row>
    <row r="718" ht="15.75" customHeight="1">
      <c r="A718" s="1"/>
      <c r="B718" s="108"/>
      <c r="C718" s="108"/>
      <c r="D718" s="151"/>
      <c r="E718" s="109"/>
      <c r="F718" s="108"/>
      <c r="G718" s="109"/>
      <c r="H718" s="109"/>
      <c r="I718" s="108"/>
      <c r="J718" s="1"/>
      <c r="K718" s="1"/>
      <c r="L718" s="1"/>
      <c r="M718" s="113"/>
      <c r="N718" s="113"/>
      <c r="O718" s="55"/>
      <c r="P718" s="113"/>
      <c r="Q718" s="1"/>
      <c r="R718" s="1"/>
      <c r="S718" s="84"/>
      <c r="T718" s="84"/>
      <c r="U718" s="1"/>
      <c r="V718" s="1"/>
      <c r="W718" s="1"/>
      <c r="X718" s="1"/>
      <c r="Y718" s="1"/>
      <c r="Z718" s="1"/>
      <c r="AA718" s="1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</row>
    <row r="719" ht="15.75" customHeight="1">
      <c r="A719" s="1"/>
      <c r="B719" s="108"/>
      <c r="C719" s="108"/>
      <c r="D719" s="151"/>
      <c r="E719" s="109"/>
      <c r="F719" s="108"/>
      <c r="G719" s="109"/>
      <c r="H719" s="109"/>
      <c r="I719" s="108"/>
      <c r="J719" s="1"/>
      <c r="K719" s="1"/>
      <c r="L719" s="1"/>
      <c r="M719" s="113"/>
      <c r="N719" s="113"/>
      <c r="O719" s="55"/>
      <c r="P719" s="113"/>
      <c r="Q719" s="1"/>
      <c r="R719" s="1"/>
      <c r="S719" s="84"/>
      <c r="T719" s="84"/>
      <c r="U719" s="1"/>
      <c r="V719" s="1"/>
      <c r="W719" s="1"/>
      <c r="X719" s="1"/>
      <c r="Y719" s="1"/>
      <c r="Z719" s="1"/>
      <c r="AA719" s="1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</row>
    <row r="720" ht="15.75" customHeight="1">
      <c r="A720" s="1"/>
      <c r="B720" s="108"/>
      <c r="C720" s="108"/>
      <c r="D720" s="151"/>
      <c r="E720" s="109"/>
      <c r="F720" s="108"/>
      <c r="G720" s="109"/>
      <c r="H720" s="109"/>
      <c r="I720" s="108"/>
      <c r="J720" s="1"/>
      <c r="K720" s="1"/>
      <c r="L720" s="1"/>
      <c r="M720" s="113"/>
      <c r="N720" s="113"/>
      <c r="O720" s="1"/>
      <c r="P720" s="113"/>
      <c r="Q720" s="1"/>
      <c r="R720" s="1"/>
      <c r="S720" s="84"/>
      <c r="T720" s="84"/>
      <c r="U720" s="1"/>
      <c r="V720" s="1"/>
      <c r="W720" s="1"/>
      <c r="X720" s="1"/>
      <c r="Y720" s="1"/>
      <c r="Z720" s="1"/>
      <c r="AA720" s="1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</row>
    <row r="772" ht="15.75" customHeight="1">
      <c r="A772" s="1"/>
      <c r="B772" s="16"/>
      <c r="C772" s="16"/>
      <c r="D772" s="16"/>
      <c r="E772" s="16"/>
      <c r="F772" s="16"/>
      <c r="G772" s="16"/>
      <c r="H772" s="16"/>
      <c r="I772" s="1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</row>
    <row r="773" ht="15.75" customHeight="1">
      <c r="A773" s="1"/>
      <c r="B773" s="109"/>
      <c r="C773" s="109"/>
      <c r="D773" s="151"/>
      <c r="E773" s="109"/>
      <c r="F773" s="108"/>
      <c r="G773" s="109"/>
      <c r="H773" s="109"/>
      <c r="I773" s="109"/>
      <c r="J773" s="1"/>
      <c r="K773" s="1"/>
      <c r="L773" s="1"/>
      <c r="M773" s="111"/>
      <c r="N773" s="111"/>
      <c r="O773" s="113"/>
      <c r="P773" s="11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</row>
    <row r="774" ht="15.75" customHeight="1">
      <c r="A774" s="1"/>
      <c r="B774" s="108"/>
      <c r="C774" s="108"/>
      <c r="D774" s="151"/>
      <c r="E774" s="109"/>
      <c r="F774" s="108"/>
      <c r="G774" s="108"/>
      <c r="H774" s="109"/>
      <c r="I774" s="108"/>
      <c r="J774" s="1"/>
      <c r="K774" s="1"/>
      <c r="L774" s="1"/>
      <c r="M774" s="111"/>
      <c r="N774" s="111"/>
      <c r="O774" s="55"/>
      <c r="P774" s="111"/>
      <c r="Q774" s="1"/>
      <c r="R774" s="1"/>
      <c r="S774" s="84"/>
      <c r="T774" s="84"/>
      <c r="U774" s="1"/>
      <c r="V774" s="1"/>
      <c r="W774" s="1"/>
      <c r="X774" s="1"/>
      <c r="Y774" s="1"/>
      <c r="Z774" s="1"/>
      <c r="AA774" s="1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</row>
    <row r="775" ht="15.75" customHeight="1">
      <c r="A775" s="1"/>
      <c r="B775" s="108"/>
      <c r="C775" s="108"/>
      <c r="D775" s="151"/>
      <c r="E775" s="109"/>
      <c r="F775" s="108"/>
      <c r="G775" s="109"/>
      <c r="H775" s="109"/>
      <c r="I775" s="108"/>
      <c r="J775" s="1"/>
      <c r="K775" s="1"/>
      <c r="L775" s="1"/>
      <c r="M775" s="111"/>
      <c r="N775" s="111"/>
      <c r="O775" s="55"/>
      <c r="P775" s="111"/>
      <c r="Q775" s="1"/>
      <c r="R775" s="1"/>
      <c r="S775" s="84"/>
      <c r="T775" s="84"/>
      <c r="U775" s="1"/>
      <c r="V775" s="1"/>
      <c r="W775" s="1"/>
      <c r="X775" s="1"/>
      <c r="Y775" s="1"/>
      <c r="Z775" s="1"/>
      <c r="AA775" s="1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</row>
    <row r="776" ht="15.75" customHeight="1">
      <c r="A776" s="1"/>
      <c r="B776" s="108"/>
      <c r="C776" s="108"/>
      <c r="D776" s="151"/>
      <c r="E776" s="109"/>
      <c r="F776" s="108"/>
      <c r="G776" s="109"/>
      <c r="H776" s="109"/>
      <c r="I776" s="108"/>
      <c r="J776" s="1"/>
      <c r="K776" s="1"/>
      <c r="L776" s="1"/>
      <c r="M776" s="111"/>
      <c r="N776" s="111"/>
      <c r="O776" s="55"/>
      <c r="P776" s="111"/>
      <c r="Q776" s="1"/>
      <c r="R776" s="1"/>
      <c r="S776" s="84"/>
      <c r="T776" s="84"/>
      <c r="U776" s="1"/>
      <c r="V776" s="1"/>
      <c r="W776" s="1"/>
      <c r="X776" s="1"/>
      <c r="Y776" s="1"/>
      <c r="Z776" s="1"/>
      <c r="AA776" s="1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</row>
    <row r="777" ht="15.75" customHeight="1">
      <c r="A777" s="1"/>
      <c r="B777" s="108"/>
      <c r="C777" s="108"/>
      <c r="D777" s="151"/>
      <c r="E777" s="109"/>
      <c r="F777" s="108"/>
      <c r="G777" s="109"/>
      <c r="H777" s="109"/>
      <c r="I777" s="108"/>
      <c r="J777" s="1"/>
      <c r="K777" s="1"/>
      <c r="L777" s="1"/>
      <c r="M777" s="111"/>
      <c r="N777" s="111"/>
      <c r="O777" s="55"/>
      <c r="P777" s="111"/>
      <c r="Q777" s="1"/>
      <c r="R777" s="1"/>
      <c r="S777" s="84"/>
      <c r="T777" s="84"/>
      <c r="U777" s="1"/>
      <c r="V777" s="1"/>
      <c r="W777" s="1"/>
      <c r="X777" s="1"/>
      <c r="Y777" s="1"/>
      <c r="Z777" s="1"/>
      <c r="AA777" s="1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</row>
    <row r="778" ht="15.75" customHeight="1">
      <c r="A778" s="1"/>
      <c r="B778" s="108"/>
      <c r="C778" s="108"/>
      <c r="D778" s="151"/>
      <c r="E778" s="109"/>
      <c r="F778" s="108"/>
      <c r="G778" s="109"/>
      <c r="H778" s="109"/>
      <c r="I778" s="108"/>
      <c r="J778" s="1"/>
      <c r="K778" s="1"/>
      <c r="L778" s="1"/>
      <c r="M778" s="111"/>
      <c r="N778" s="111"/>
      <c r="O778" s="55"/>
      <c r="P778" s="111"/>
      <c r="Q778" s="1"/>
      <c r="R778" s="1"/>
      <c r="S778" s="84"/>
      <c r="T778" s="84"/>
      <c r="U778" s="1"/>
      <c r="V778" s="1"/>
      <c r="W778" s="1"/>
      <c r="X778" s="1"/>
      <c r="Y778" s="1"/>
      <c r="Z778" s="1"/>
      <c r="AA778" s="1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</row>
    <row r="779" ht="15.75" customHeight="1">
      <c r="A779" s="1"/>
      <c r="B779" s="108"/>
      <c r="C779" s="108"/>
      <c r="D779" s="151"/>
      <c r="E779" s="109"/>
      <c r="F779" s="108"/>
      <c r="G779" s="109"/>
      <c r="H779" s="109"/>
      <c r="I779" s="108"/>
      <c r="J779" s="1"/>
      <c r="K779" s="1"/>
      <c r="L779" s="1"/>
      <c r="M779" s="111"/>
      <c r="N779" s="111"/>
      <c r="O779" s="55"/>
      <c r="P779" s="111"/>
      <c r="Q779" s="1"/>
      <c r="R779" s="1"/>
      <c r="S779" s="84"/>
      <c r="T779" s="84"/>
      <c r="U779" s="1"/>
      <c r="V779" s="1"/>
      <c r="W779" s="1"/>
      <c r="X779" s="1"/>
      <c r="Y779" s="1"/>
      <c r="Z779" s="1"/>
      <c r="AA779" s="1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</row>
    <row r="780" ht="15.75" customHeight="1">
      <c r="A780" s="1"/>
      <c r="B780" s="108"/>
      <c r="C780" s="108"/>
      <c r="D780" s="151"/>
      <c r="E780" s="109"/>
      <c r="F780" s="108"/>
      <c r="G780" s="109"/>
      <c r="H780" s="109"/>
      <c r="I780" s="108"/>
      <c r="J780" s="1"/>
      <c r="K780" s="1"/>
      <c r="L780" s="1"/>
      <c r="M780" s="111"/>
      <c r="N780" s="111"/>
      <c r="O780" s="55"/>
      <c r="P780" s="111"/>
      <c r="Q780" s="1"/>
      <c r="R780" s="1"/>
      <c r="S780" s="84"/>
      <c r="T780" s="84"/>
      <c r="U780" s="1"/>
      <c r="V780" s="1"/>
      <c r="W780" s="1"/>
      <c r="X780" s="1"/>
      <c r="Y780" s="1"/>
      <c r="Z780" s="1"/>
      <c r="AA780" s="1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</row>
    <row r="781" ht="15.75" customHeight="1">
      <c r="A781" s="1"/>
      <c r="B781" s="108"/>
      <c r="C781" s="108"/>
      <c r="D781" s="151"/>
      <c r="E781" s="109"/>
      <c r="F781" s="108"/>
      <c r="G781" s="109"/>
      <c r="H781" s="109"/>
      <c r="I781" s="108"/>
      <c r="J781" s="1"/>
      <c r="K781" s="1"/>
      <c r="L781" s="1"/>
      <c r="M781" s="111"/>
      <c r="N781" s="111"/>
      <c r="O781" s="55"/>
      <c r="P781" s="111"/>
      <c r="Q781" s="1"/>
      <c r="R781" s="1"/>
      <c r="S781" s="84"/>
      <c r="T781" s="84"/>
      <c r="U781" s="1"/>
      <c r="V781" s="1"/>
      <c r="W781" s="1"/>
      <c r="X781" s="1"/>
      <c r="Y781" s="1"/>
      <c r="Z781" s="1"/>
      <c r="AA781" s="1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</row>
    <row r="782" ht="15.75" customHeight="1">
      <c r="A782" s="1"/>
      <c r="B782" s="108"/>
      <c r="C782" s="108"/>
      <c r="D782" s="151"/>
      <c r="E782" s="109"/>
      <c r="F782" s="108"/>
      <c r="G782" s="109"/>
      <c r="H782" s="109"/>
      <c r="I782" s="108"/>
      <c r="J782" s="1"/>
      <c r="K782" s="1"/>
      <c r="L782" s="1"/>
      <c r="M782" s="111"/>
      <c r="N782" s="111"/>
      <c r="O782" s="55"/>
      <c r="P782" s="111"/>
      <c r="Q782" s="1"/>
      <c r="R782" s="1"/>
      <c r="S782" s="84"/>
      <c r="T782" s="84"/>
      <c r="U782" s="1"/>
      <c r="V782" s="1"/>
      <c r="W782" s="1"/>
      <c r="X782" s="1"/>
      <c r="Y782" s="1"/>
      <c r="Z782" s="1"/>
      <c r="AA782" s="1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</row>
    <row r="783" ht="15.75" customHeight="1">
      <c r="A783" s="1"/>
      <c r="B783" s="108"/>
      <c r="C783" s="108"/>
      <c r="D783" s="151"/>
      <c r="E783" s="109"/>
      <c r="F783" s="108"/>
      <c r="G783" s="109"/>
      <c r="H783" s="109"/>
      <c r="I783" s="108"/>
      <c r="J783" s="1"/>
      <c r="K783" s="1"/>
      <c r="L783" s="1"/>
      <c r="M783" s="111"/>
      <c r="N783" s="111"/>
      <c r="O783" s="55"/>
      <c r="P783" s="111"/>
      <c r="Q783" s="1"/>
      <c r="R783" s="1"/>
      <c r="S783" s="84"/>
      <c r="T783" s="84"/>
      <c r="U783" s="1"/>
      <c r="V783" s="1"/>
      <c r="W783" s="1"/>
      <c r="X783" s="1"/>
      <c r="Y783" s="1"/>
      <c r="Z783" s="1"/>
      <c r="AA783" s="1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</row>
    <row r="784" ht="15.75" customHeight="1">
      <c r="A784" s="1"/>
      <c r="B784" s="108"/>
      <c r="C784" s="108"/>
      <c r="D784" s="151"/>
      <c r="E784" s="109"/>
      <c r="F784" s="108"/>
      <c r="G784" s="109"/>
      <c r="H784" s="109"/>
      <c r="I784" s="108"/>
      <c r="J784" s="1"/>
      <c r="K784" s="1"/>
      <c r="L784" s="1"/>
      <c r="M784" s="111"/>
      <c r="N784" s="111"/>
      <c r="O784" s="55"/>
      <c r="P784" s="111"/>
      <c r="Q784" s="1"/>
      <c r="R784" s="1"/>
      <c r="S784" s="84"/>
      <c r="T784" s="84"/>
      <c r="U784" s="1"/>
      <c r="V784" s="1"/>
      <c r="W784" s="1"/>
      <c r="X784" s="1"/>
      <c r="Y784" s="1"/>
      <c r="Z784" s="1"/>
      <c r="AA784" s="1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</row>
    <row r="785" ht="15.75" customHeight="1">
      <c r="A785" s="1"/>
      <c r="B785" s="108"/>
      <c r="C785" s="108"/>
      <c r="D785" s="151"/>
      <c r="E785" s="109"/>
      <c r="F785" s="108"/>
      <c r="G785" s="109"/>
      <c r="H785" s="109"/>
      <c r="I785" s="108"/>
      <c r="J785" s="1"/>
      <c r="K785" s="1"/>
      <c r="L785" s="1"/>
      <c r="M785" s="113"/>
      <c r="N785" s="113"/>
      <c r="O785" s="1"/>
      <c r="P785" s="113"/>
      <c r="Q785" s="1"/>
      <c r="R785" s="1"/>
      <c r="S785" s="84"/>
      <c r="T785" s="84"/>
      <c r="U785" s="1"/>
      <c r="V785" s="1"/>
      <c r="W785" s="1"/>
      <c r="X785" s="1"/>
      <c r="Y785" s="1"/>
      <c r="Z785" s="1"/>
      <c r="AA785" s="1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</row>
    <row r="786" ht="15.75" customHeight="1">
      <c r="A786" s="1"/>
      <c r="B786" s="108"/>
      <c r="C786" s="108"/>
      <c r="D786" s="151"/>
      <c r="E786" s="109"/>
      <c r="F786" s="108"/>
      <c r="G786" s="109"/>
      <c r="H786" s="109"/>
      <c r="I786" s="108"/>
      <c r="J786" s="1"/>
      <c r="K786" s="1"/>
      <c r="L786" s="1"/>
      <c r="M786" s="113"/>
      <c r="N786" s="113"/>
      <c r="O786" s="1"/>
      <c r="P786" s="113"/>
      <c r="Q786" s="1"/>
      <c r="R786" s="1"/>
      <c r="S786" s="84"/>
      <c r="T786" s="84"/>
      <c r="U786" s="1"/>
      <c r="V786" s="1"/>
      <c r="W786" s="1"/>
      <c r="X786" s="1"/>
      <c r="Y786" s="1"/>
      <c r="Z786" s="1"/>
      <c r="AA786" s="1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</row>
    <row r="787" ht="15.75" customHeight="1">
      <c r="A787" s="1"/>
      <c r="B787" s="108"/>
      <c r="C787" s="108"/>
      <c r="D787" s="151"/>
      <c r="E787" s="109"/>
      <c r="F787" s="108"/>
      <c r="G787" s="109"/>
      <c r="H787" s="109"/>
      <c r="I787" s="108"/>
      <c r="J787" s="1"/>
      <c r="K787" s="1"/>
      <c r="L787" s="1"/>
      <c r="M787" s="113"/>
      <c r="N787" s="113"/>
      <c r="O787" s="1"/>
      <c r="P787" s="113"/>
      <c r="Q787" s="1"/>
      <c r="R787" s="1"/>
      <c r="S787" s="84"/>
      <c r="T787" s="84"/>
      <c r="U787" s="1"/>
      <c r="V787" s="1"/>
      <c r="W787" s="1"/>
      <c r="X787" s="1"/>
      <c r="Y787" s="1"/>
      <c r="Z787" s="1"/>
      <c r="AA787" s="1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</row>
    <row r="788" ht="15.75" customHeight="1">
      <c r="A788" s="1"/>
      <c r="B788" s="108"/>
      <c r="C788" s="108"/>
      <c r="D788" s="151"/>
      <c r="E788" s="109"/>
      <c r="F788" s="108"/>
      <c r="G788" s="109"/>
      <c r="H788" s="109"/>
      <c r="I788" s="108"/>
      <c r="J788" s="1"/>
      <c r="K788" s="1"/>
      <c r="L788" s="1"/>
      <c r="M788" s="113"/>
      <c r="N788" s="113"/>
      <c r="O788" s="55"/>
      <c r="P788" s="113"/>
      <c r="Q788" s="1"/>
      <c r="R788" s="1"/>
      <c r="S788" s="84"/>
      <c r="T788" s="84"/>
      <c r="U788" s="1"/>
      <c r="V788" s="1"/>
      <c r="W788" s="1"/>
      <c r="X788" s="1"/>
      <c r="Y788" s="1"/>
      <c r="Z788" s="1"/>
      <c r="AA788" s="1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</row>
    <row r="789" ht="15.75" customHeight="1">
      <c r="A789" s="1"/>
      <c r="B789" s="108"/>
      <c r="C789" s="108"/>
      <c r="D789" s="151"/>
      <c r="E789" s="109"/>
      <c r="F789" s="108"/>
      <c r="G789" s="109"/>
      <c r="H789" s="109"/>
      <c r="I789" s="108"/>
      <c r="J789" s="1"/>
      <c r="K789" s="1"/>
      <c r="L789" s="1"/>
      <c r="M789" s="111"/>
      <c r="N789" s="113"/>
      <c r="O789" s="55"/>
      <c r="P789" s="113"/>
      <c r="Q789" s="1"/>
      <c r="R789" s="1"/>
      <c r="S789" s="84"/>
      <c r="T789" s="84"/>
      <c r="U789" s="1"/>
      <c r="V789" s="1"/>
      <c r="W789" s="1"/>
      <c r="X789" s="1"/>
      <c r="Y789" s="1"/>
      <c r="Z789" s="1"/>
      <c r="AA789" s="1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</row>
    <row r="790" ht="15.75" customHeight="1">
      <c r="A790" s="1"/>
      <c r="B790" s="108"/>
      <c r="C790" s="108"/>
      <c r="D790" s="151"/>
      <c r="E790" s="109"/>
      <c r="F790" s="108"/>
      <c r="G790" s="109"/>
      <c r="H790" s="109"/>
      <c r="I790" s="108"/>
      <c r="J790" s="1"/>
      <c r="K790" s="1"/>
      <c r="L790" s="1"/>
      <c r="M790" s="111"/>
      <c r="N790" s="113"/>
      <c r="O790" s="55"/>
      <c r="P790" s="113"/>
      <c r="Q790" s="1"/>
      <c r="R790" s="1"/>
      <c r="S790" s="84"/>
      <c r="T790" s="84"/>
      <c r="U790" s="1"/>
      <c r="V790" s="1"/>
      <c r="W790" s="1"/>
      <c r="X790" s="1"/>
      <c r="Y790" s="1"/>
      <c r="Z790" s="1"/>
      <c r="AA790" s="1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</row>
    <row r="791" ht="15.75" customHeight="1">
      <c r="A791" s="1"/>
      <c r="B791" s="108"/>
      <c r="C791" s="108"/>
      <c r="D791" s="151"/>
      <c r="E791" s="109"/>
      <c r="F791" s="108"/>
      <c r="G791" s="109"/>
      <c r="H791" s="109"/>
      <c r="I791" s="108"/>
      <c r="J791" s="1"/>
      <c r="K791" s="1"/>
      <c r="L791" s="1"/>
      <c r="M791" s="111"/>
      <c r="N791" s="113"/>
      <c r="O791" s="55"/>
      <c r="P791" s="113"/>
      <c r="Q791" s="1"/>
      <c r="R791" s="1"/>
      <c r="S791" s="84"/>
      <c r="T791" s="84"/>
      <c r="U791" s="1"/>
      <c r="V791" s="1"/>
      <c r="W791" s="1"/>
      <c r="X791" s="1"/>
      <c r="Y791" s="1"/>
      <c r="Z791" s="1"/>
      <c r="AA791" s="1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</row>
    <row r="792" ht="15.75" customHeight="1">
      <c r="A792" s="1"/>
      <c r="B792" s="108"/>
      <c r="C792" s="108"/>
      <c r="D792" s="151"/>
      <c r="E792" s="109"/>
      <c r="F792" s="108"/>
      <c r="G792" s="109"/>
      <c r="H792" s="109"/>
      <c r="I792" s="108"/>
      <c r="J792" s="1"/>
      <c r="K792" s="1"/>
      <c r="L792" s="1"/>
      <c r="M792" s="111"/>
      <c r="N792" s="113"/>
      <c r="O792" s="55"/>
      <c r="P792" s="113"/>
      <c r="Q792" s="1"/>
      <c r="R792" s="1"/>
      <c r="S792" s="84"/>
      <c r="T792" s="84"/>
      <c r="U792" s="1"/>
      <c r="V792" s="1"/>
      <c r="W792" s="1"/>
      <c r="X792" s="1"/>
      <c r="Y792" s="1"/>
      <c r="Z792" s="1"/>
      <c r="AA792" s="1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</row>
    <row r="793" ht="15.75" customHeight="1">
      <c r="A793" s="1"/>
      <c r="B793" s="108"/>
      <c r="C793" s="108"/>
      <c r="D793" s="151"/>
      <c r="E793" s="109"/>
      <c r="F793" s="108"/>
      <c r="G793" s="109"/>
      <c r="H793" s="109"/>
      <c r="I793" s="108"/>
      <c r="J793" s="1"/>
      <c r="K793" s="1"/>
      <c r="L793" s="1"/>
      <c r="M793" s="111"/>
      <c r="N793" s="113"/>
      <c r="O793" s="55"/>
      <c r="P793" s="113"/>
      <c r="Q793" s="1"/>
      <c r="R793" s="1"/>
      <c r="S793" s="84"/>
      <c r="T793" s="84"/>
      <c r="U793" s="1"/>
      <c r="V793" s="1"/>
      <c r="W793" s="1"/>
      <c r="X793" s="1"/>
      <c r="Y793" s="1"/>
      <c r="Z793" s="1"/>
      <c r="AA793" s="1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</row>
    <row r="794" ht="15.75" customHeight="1">
      <c r="A794" s="1"/>
      <c r="B794" s="108"/>
      <c r="C794" s="108"/>
      <c r="D794" s="151"/>
      <c r="E794" s="109"/>
      <c r="F794" s="108"/>
      <c r="G794" s="109"/>
      <c r="H794" s="109"/>
      <c r="I794" s="108"/>
      <c r="J794" s="1"/>
      <c r="K794" s="1"/>
      <c r="L794" s="1"/>
      <c r="M794" s="111"/>
      <c r="N794" s="113"/>
      <c r="O794" s="55"/>
      <c r="P794" s="113"/>
      <c r="Q794" s="1"/>
      <c r="R794" s="1"/>
      <c r="S794" s="84"/>
      <c r="T794" s="84"/>
      <c r="U794" s="1"/>
      <c r="V794" s="1"/>
      <c r="W794" s="1"/>
      <c r="X794" s="1"/>
      <c r="Y794" s="1"/>
      <c r="Z794" s="1"/>
      <c r="AA794" s="1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</row>
    <row r="795" ht="15.75" customHeight="1">
      <c r="A795" s="1"/>
      <c r="B795" s="108"/>
      <c r="C795" s="108"/>
      <c r="D795" s="151"/>
      <c r="E795" s="109"/>
      <c r="F795" s="108"/>
      <c r="G795" s="109"/>
      <c r="H795" s="109"/>
      <c r="I795" s="108"/>
      <c r="J795" s="1"/>
      <c r="K795" s="1"/>
      <c r="L795" s="1"/>
      <c r="M795" s="111"/>
      <c r="N795" s="113"/>
      <c r="O795" s="55"/>
      <c r="P795" s="113"/>
      <c r="Q795" s="1"/>
      <c r="R795" s="1"/>
      <c r="S795" s="84"/>
      <c r="T795" s="84"/>
      <c r="U795" s="1"/>
      <c r="V795" s="1"/>
      <c r="W795" s="1"/>
      <c r="X795" s="1"/>
      <c r="Y795" s="1"/>
      <c r="Z795" s="1"/>
      <c r="AA795" s="1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</row>
    <row r="796" ht="15.75" customHeight="1">
      <c r="A796" s="1"/>
      <c r="B796" s="108"/>
      <c r="C796" s="108"/>
      <c r="D796" s="151"/>
      <c r="E796" s="109"/>
      <c r="F796" s="108"/>
      <c r="G796" s="109"/>
      <c r="H796" s="109"/>
      <c r="I796" s="108"/>
      <c r="J796" s="1"/>
      <c r="K796" s="1"/>
      <c r="L796" s="1"/>
      <c r="M796" s="111"/>
      <c r="N796" s="113"/>
      <c r="O796" s="55"/>
      <c r="P796" s="113"/>
      <c r="Q796" s="1"/>
      <c r="R796" s="1"/>
      <c r="S796" s="84"/>
      <c r="T796" s="84"/>
      <c r="U796" s="1"/>
      <c r="V796" s="1"/>
      <c r="W796" s="1"/>
      <c r="X796" s="1"/>
      <c r="Y796" s="1"/>
      <c r="Z796" s="1"/>
      <c r="AA796" s="1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</row>
    <row r="797" ht="15.75" customHeight="1">
      <c r="A797" s="1"/>
      <c r="B797" s="108"/>
      <c r="C797" s="108"/>
      <c r="D797" s="151"/>
      <c r="E797" s="109"/>
      <c r="F797" s="108"/>
      <c r="G797" s="109"/>
      <c r="H797" s="109"/>
      <c r="I797" s="108"/>
      <c r="J797" s="1"/>
      <c r="K797" s="1"/>
      <c r="L797" s="1"/>
      <c r="M797" s="111"/>
      <c r="N797" s="113"/>
      <c r="O797" s="55"/>
      <c r="P797" s="113"/>
      <c r="Q797" s="1"/>
      <c r="R797" s="1"/>
      <c r="S797" s="84"/>
      <c r="T797" s="84"/>
      <c r="U797" s="1"/>
      <c r="V797" s="1"/>
      <c r="W797" s="1"/>
      <c r="X797" s="1"/>
      <c r="Y797" s="1"/>
      <c r="Z797" s="1"/>
      <c r="AA797" s="1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</row>
    <row r="798" ht="15.75" customHeight="1">
      <c r="A798" s="1"/>
      <c r="B798" s="108"/>
      <c r="C798" s="108"/>
      <c r="D798" s="151"/>
      <c r="E798" s="109"/>
      <c r="F798" s="108"/>
      <c r="G798" s="109"/>
      <c r="H798" s="109"/>
      <c r="I798" s="108"/>
      <c r="J798" s="1"/>
      <c r="K798" s="1"/>
      <c r="L798" s="1"/>
      <c r="M798" s="113"/>
      <c r="N798" s="113"/>
      <c r="O798" s="55"/>
      <c r="P798" s="113"/>
      <c r="Q798" s="1"/>
      <c r="R798" s="1"/>
      <c r="S798" s="84"/>
      <c r="T798" s="84"/>
      <c r="U798" s="1"/>
      <c r="V798" s="1"/>
      <c r="W798" s="1"/>
      <c r="X798" s="1"/>
      <c r="Y798" s="1"/>
      <c r="Z798" s="1"/>
      <c r="AA798" s="1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</row>
    <row r="799" ht="15.75" customHeight="1">
      <c r="A799" s="1"/>
      <c r="B799" s="108"/>
      <c r="C799" s="108"/>
      <c r="D799" s="151"/>
      <c r="E799" s="109"/>
      <c r="F799" s="108"/>
      <c r="G799" s="109"/>
      <c r="H799" s="109"/>
      <c r="I799" s="108"/>
      <c r="J799" s="1"/>
      <c r="K799" s="1"/>
      <c r="L799" s="1"/>
      <c r="M799" s="113"/>
      <c r="N799" s="113"/>
      <c r="O799" s="55"/>
      <c r="P799" s="113"/>
      <c r="Q799" s="1"/>
      <c r="R799" s="1"/>
      <c r="S799" s="84"/>
      <c r="T799" s="84"/>
      <c r="U799" s="1"/>
      <c r="V799" s="1"/>
      <c r="W799" s="1"/>
      <c r="X799" s="1"/>
      <c r="Y799" s="1"/>
      <c r="Z799" s="1"/>
      <c r="AA799" s="1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</row>
    <row r="800" ht="15.75" customHeight="1">
      <c r="A800" s="1"/>
      <c r="B800" s="108"/>
      <c r="C800" s="108"/>
      <c r="D800" s="151"/>
      <c r="E800" s="109"/>
      <c r="F800" s="108"/>
      <c r="G800" s="109"/>
      <c r="H800" s="109"/>
      <c r="I800" s="108"/>
      <c r="J800" s="1"/>
      <c r="K800" s="1"/>
      <c r="L800" s="1"/>
      <c r="M800" s="113"/>
      <c r="N800" s="113"/>
      <c r="O800" s="1"/>
      <c r="P800" s="113"/>
      <c r="Q800" s="1"/>
      <c r="R800" s="1"/>
      <c r="S800" s="84"/>
      <c r="T800" s="84"/>
      <c r="U800" s="1"/>
      <c r="V800" s="1"/>
      <c r="W800" s="1"/>
      <c r="X800" s="1"/>
      <c r="Y800" s="1"/>
      <c r="Z800" s="1"/>
      <c r="AA800" s="1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</row>
    <row r="852" ht="15.75" customHeight="1">
      <c r="A852" s="1"/>
      <c r="B852" s="16"/>
      <c r="C852" s="16"/>
      <c r="D852" s="16"/>
      <c r="E852" s="16"/>
      <c r="F852" s="16"/>
      <c r="G852" s="16"/>
      <c r="H852" s="16"/>
      <c r="I852" s="1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</row>
    <row r="853" ht="15.75" customHeight="1">
      <c r="A853" s="1"/>
      <c r="B853" s="109"/>
      <c r="C853" s="109"/>
      <c r="D853" s="151"/>
      <c r="E853" s="109"/>
      <c r="F853" s="108"/>
      <c r="G853" s="109"/>
      <c r="H853" s="109"/>
      <c r="I853" s="109"/>
      <c r="J853" s="1"/>
      <c r="K853" s="1"/>
      <c r="L853" s="1"/>
      <c r="M853" s="111"/>
      <c r="N853" s="111"/>
      <c r="O853" s="113"/>
      <c r="P853" s="11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</row>
    <row r="854" ht="15.75" customHeight="1">
      <c r="A854" s="1"/>
      <c r="B854" s="108"/>
      <c r="C854" s="108"/>
      <c r="D854" s="151"/>
      <c r="E854" s="109"/>
      <c r="F854" s="108"/>
      <c r="G854" s="108"/>
      <c r="H854" s="109"/>
      <c r="I854" s="108"/>
      <c r="J854" s="1"/>
      <c r="K854" s="1"/>
      <c r="L854" s="1"/>
      <c r="M854" s="111"/>
      <c r="N854" s="111"/>
      <c r="O854" s="55"/>
      <c r="P854" s="111"/>
      <c r="Q854" s="1"/>
      <c r="R854" s="1"/>
      <c r="S854" s="84"/>
      <c r="T854" s="84"/>
      <c r="U854" s="1"/>
      <c r="V854" s="1"/>
      <c r="W854" s="1"/>
      <c r="X854" s="1"/>
      <c r="Y854" s="1"/>
      <c r="Z854" s="1"/>
      <c r="AA854" s="1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</row>
    <row r="855" ht="15.75" customHeight="1">
      <c r="A855" s="1"/>
      <c r="B855" s="108"/>
      <c r="C855" s="108"/>
      <c r="D855" s="151"/>
      <c r="E855" s="109"/>
      <c r="F855" s="108"/>
      <c r="G855" s="109"/>
      <c r="H855" s="109"/>
      <c r="I855" s="108"/>
      <c r="J855" s="1"/>
      <c r="K855" s="1"/>
      <c r="L855" s="1"/>
      <c r="M855" s="111"/>
      <c r="N855" s="111"/>
      <c r="O855" s="55"/>
      <c r="P855" s="111"/>
      <c r="Q855" s="1"/>
      <c r="R855" s="1"/>
      <c r="S855" s="84"/>
      <c r="T855" s="84"/>
      <c r="U855" s="1"/>
      <c r="V855" s="1"/>
      <c r="W855" s="1"/>
      <c r="X855" s="1"/>
      <c r="Y855" s="1"/>
      <c r="Z855" s="1"/>
      <c r="AA855" s="1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</row>
    <row r="856" ht="15.75" customHeight="1">
      <c r="A856" s="1"/>
      <c r="B856" s="108"/>
      <c r="C856" s="108"/>
      <c r="D856" s="151"/>
      <c r="E856" s="109"/>
      <c r="F856" s="108"/>
      <c r="G856" s="109"/>
      <c r="H856" s="109"/>
      <c r="I856" s="108"/>
      <c r="J856" s="1"/>
      <c r="K856" s="1"/>
      <c r="L856" s="1"/>
      <c r="M856" s="111"/>
      <c r="N856" s="111"/>
      <c r="O856" s="55"/>
      <c r="P856" s="111"/>
      <c r="Q856" s="1"/>
      <c r="R856" s="1"/>
      <c r="S856" s="84"/>
      <c r="T856" s="84"/>
      <c r="U856" s="1"/>
      <c r="V856" s="1"/>
      <c r="W856" s="1"/>
      <c r="X856" s="1"/>
      <c r="Y856" s="1"/>
      <c r="Z856" s="1"/>
      <c r="AA856" s="1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</row>
    <row r="857" ht="15.75" customHeight="1">
      <c r="A857" s="1"/>
      <c r="B857" s="108"/>
      <c r="C857" s="108"/>
      <c r="D857" s="151"/>
      <c r="E857" s="109"/>
      <c r="F857" s="108"/>
      <c r="G857" s="109"/>
      <c r="H857" s="109"/>
      <c r="I857" s="108"/>
      <c r="J857" s="1"/>
      <c r="K857" s="1"/>
      <c r="L857" s="1"/>
      <c r="M857" s="111"/>
      <c r="N857" s="111"/>
      <c r="O857" s="55"/>
      <c r="P857" s="111"/>
      <c r="Q857" s="1"/>
      <c r="R857" s="1"/>
      <c r="S857" s="84"/>
      <c r="T857" s="84"/>
      <c r="U857" s="1"/>
      <c r="V857" s="1"/>
      <c r="W857" s="1"/>
      <c r="X857" s="1"/>
      <c r="Y857" s="1"/>
      <c r="Z857" s="1"/>
      <c r="AA857" s="1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</row>
    <row r="858" ht="15.75" customHeight="1">
      <c r="A858" s="1"/>
      <c r="B858" s="108"/>
      <c r="C858" s="108"/>
      <c r="D858" s="151"/>
      <c r="E858" s="109"/>
      <c r="F858" s="108"/>
      <c r="G858" s="109"/>
      <c r="H858" s="109"/>
      <c r="I858" s="108"/>
      <c r="J858" s="1"/>
      <c r="K858" s="1"/>
      <c r="L858" s="1"/>
      <c r="M858" s="111"/>
      <c r="N858" s="111"/>
      <c r="O858" s="55"/>
      <c r="P858" s="111"/>
      <c r="Q858" s="1"/>
      <c r="R858" s="1"/>
      <c r="S858" s="84"/>
      <c r="T858" s="84"/>
      <c r="U858" s="1"/>
      <c r="V858" s="1"/>
      <c r="W858" s="1"/>
      <c r="X858" s="1"/>
      <c r="Y858" s="1"/>
      <c r="Z858" s="1"/>
      <c r="AA858" s="1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</row>
    <row r="859" ht="15.75" customHeight="1">
      <c r="A859" s="1"/>
      <c r="B859" s="108"/>
      <c r="C859" s="108"/>
      <c r="D859" s="151"/>
      <c r="E859" s="109"/>
      <c r="F859" s="108"/>
      <c r="G859" s="109"/>
      <c r="H859" s="109"/>
      <c r="I859" s="108"/>
      <c r="J859" s="1"/>
      <c r="K859" s="1"/>
      <c r="L859" s="1"/>
      <c r="M859" s="111"/>
      <c r="N859" s="111"/>
      <c r="O859" s="55"/>
      <c r="P859" s="111"/>
      <c r="Q859" s="1"/>
      <c r="R859" s="1"/>
      <c r="S859" s="84"/>
      <c r="T859" s="84"/>
      <c r="U859" s="1"/>
      <c r="V859" s="1"/>
      <c r="W859" s="1"/>
      <c r="X859" s="1"/>
      <c r="Y859" s="1"/>
      <c r="Z859" s="1"/>
      <c r="AA859" s="1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</row>
    <row r="860" ht="15.75" customHeight="1">
      <c r="A860" s="1"/>
      <c r="B860" s="108"/>
      <c r="C860" s="108"/>
      <c r="D860" s="151"/>
      <c r="E860" s="109"/>
      <c r="F860" s="108"/>
      <c r="G860" s="109"/>
      <c r="H860" s="109"/>
      <c r="I860" s="108"/>
      <c r="J860" s="1"/>
      <c r="K860" s="1"/>
      <c r="L860" s="1"/>
      <c r="M860" s="111"/>
      <c r="N860" s="111"/>
      <c r="O860" s="55"/>
      <c r="P860" s="111"/>
      <c r="Q860" s="1"/>
      <c r="R860" s="1"/>
      <c r="S860" s="84"/>
      <c r="T860" s="84"/>
      <c r="U860" s="1"/>
      <c r="V860" s="1"/>
      <c r="W860" s="1"/>
      <c r="X860" s="1"/>
      <c r="Y860" s="1"/>
      <c r="Z860" s="1"/>
      <c r="AA860" s="1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</row>
    <row r="861" ht="15.75" customHeight="1">
      <c r="A861" s="1"/>
      <c r="B861" s="108"/>
      <c r="C861" s="108"/>
      <c r="D861" s="151"/>
      <c r="E861" s="109"/>
      <c r="F861" s="108"/>
      <c r="G861" s="109"/>
      <c r="H861" s="109"/>
      <c r="I861" s="108"/>
      <c r="J861" s="1"/>
      <c r="K861" s="1"/>
      <c r="L861" s="1"/>
      <c r="M861" s="111"/>
      <c r="N861" s="111"/>
      <c r="O861" s="55"/>
      <c r="P861" s="111"/>
      <c r="Q861" s="1"/>
      <c r="R861" s="1"/>
      <c r="S861" s="84"/>
      <c r="T861" s="84"/>
      <c r="U861" s="1"/>
      <c r="V861" s="1"/>
      <c r="W861" s="1"/>
      <c r="X861" s="1"/>
      <c r="Y861" s="1"/>
      <c r="Z861" s="1"/>
      <c r="AA861" s="1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</row>
    <row r="862" ht="15.75" customHeight="1">
      <c r="A862" s="1"/>
      <c r="B862" s="108"/>
      <c r="C862" s="108"/>
      <c r="D862" s="151"/>
      <c r="E862" s="109"/>
      <c r="F862" s="108"/>
      <c r="G862" s="109"/>
      <c r="H862" s="109"/>
      <c r="I862" s="108"/>
      <c r="J862" s="1"/>
      <c r="K862" s="1"/>
      <c r="L862" s="1"/>
      <c r="M862" s="111"/>
      <c r="N862" s="111"/>
      <c r="O862" s="55"/>
      <c r="P862" s="111"/>
      <c r="Q862" s="1"/>
      <c r="R862" s="1"/>
      <c r="S862" s="84"/>
      <c r="T862" s="84"/>
      <c r="U862" s="1"/>
      <c r="V862" s="1"/>
      <c r="W862" s="1"/>
      <c r="X862" s="1"/>
      <c r="Y862" s="1"/>
      <c r="Z862" s="1"/>
      <c r="AA862" s="1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</row>
    <row r="863" ht="15.75" customHeight="1">
      <c r="A863" s="1"/>
      <c r="B863" s="108"/>
      <c r="C863" s="108"/>
      <c r="D863" s="151"/>
      <c r="E863" s="109"/>
      <c r="F863" s="108"/>
      <c r="G863" s="109"/>
      <c r="H863" s="109"/>
      <c r="I863" s="108"/>
      <c r="J863" s="1"/>
      <c r="K863" s="1"/>
      <c r="L863" s="1"/>
      <c r="M863" s="111"/>
      <c r="N863" s="111"/>
      <c r="O863" s="55"/>
      <c r="P863" s="111"/>
      <c r="Q863" s="1"/>
      <c r="R863" s="1"/>
      <c r="S863" s="84"/>
      <c r="T863" s="84"/>
      <c r="U863" s="1"/>
      <c r="V863" s="1"/>
      <c r="W863" s="1"/>
      <c r="X863" s="1"/>
      <c r="Y863" s="1"/>
      <c r="Z863" s="1"/>
      <c r="AA863" s="1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</row>
    <row r="864" ht="15.75" customHeight="1">
      <c r="A864" s="1"/>
      <c r="B864" s="108"/>
      <c r="C864" s="108"/>
      <c r="D864" s="151"/>
      <c r="E864" s="109"/>
      <c r="F864" s="108"/>
      <c r="G864" s="109"/>
      <c r="H864" s="109"/>
      <c r="I864" s="108"/>
      <c r="J864" s="1"/>
      <c r="K864" s="1"/>
      <c r="L864" s="1"/>
      <c r="M864" s="111"/>
      <c r="N864" s="111"/>
      <c r="O864" s="55"/>
      <c r="P864" s="111"/>
      <c r="Q864" s="1"/>
      <c r="R864" s="1"/>
      <c r="S864" s="84"/>
      <c r="T864" s="84"/>
      <c r="U864" s="1"/>
      <c r="V864" s="1"/>
      <c r="W864" s="1"/>
      <c r="X864" s="1"/>
      <c r="Y864" s="1"/>
      <c r="Z864" s="1"/>
      <c r="AA864" s="1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</row>
    <row r="865" ht="15.75" customHeight="1">
      <c r="A865" s="1"/>
      <c r="B865" s="108"/>
      <c r="C865" s="108"/>
      <c r="D865" s="151"/>
      <c r="E865" s="109"/>
      <c r="F865" s="108"/>
      <c r="G865" s="109"/>
      <c r="H865" s="109"/>
      <c r="I865" s="108"/>
      <c r="J865" s="1"/>
      <c r="K865" s="1"/>
      <c r="L865" s="1"/>
      <c r="M865" s="113"/>
      <c r="N865" s="113"/>
      <c r="O865" s="1"/>
      <c r="P865" s="113"/>
      <c r="Q865" s="1"/>
      <c r="R865" s="1"/>
      <c r="S865" s="84"/>
      <c r="T865" s="84"/>
      <c r="U865" s="1"/>
      <c r="V865" s="1"/>
      <c r="W865" s="1"/>
      <c r="X865" s="1"/>
      <c r="Y865" s="1"/>
      <c r="Z865" s="1"/>
      <c r="AA865" s="1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</row>
    <row r="866" ht="15.75" customHeight="1">
      <c r="A866" s="1"/>
      <c r="B866" s="108"/>
      <c r="C866" s="108"/>
      <c r="D866" s="151"/>
      <c r="E866" s="109"/>
      <c r="F866" s="108"/>
      <c r="G866" s="109"/>
      <c r="H866" s="109"/>
      <c r="I866" s="108"/>
      <c r="J866" s="1"/>
      <c r="K866" s="1"/>
      <c r="L866" s="1"/>
      <c r="M866" s="113"/>
      <c r="N866" s="113"/>
      <c r="O866" s="1"/>
      <c r="P866" s="113"/>
      <c r="Q866" s="1"/>
      <c r="R866" s="1"/>
      <c r="S866" s="84"/>
      <c r="T866" s="84"/>
      <c r="U866" s="1"/>
      <c r="V866" s="1"/>
      <c r="W866" s="1"/>
      <c r="X866" s="1"/>
      <c r="Y866" s="1"/>
      <c r="Z866" s="1"/>
      <c r="AA866" s="1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</row>
    <row r="867" ht="15.75" customHeight="1">
      <c r="A867" s="1"/>
      <c r="B867" s="108"/>
      <c r="C867" s="108"/>
      <c r="D867" s="151"/>
      <c r="E867" s="109"/>
      <c r="F867" s="108"/>
      <c r="G867" s="109"/>
      <c r="H867" s="109"/>
      <c r="I867" s="108"/>
      <c r="J867" s="1"/>
      <c r="K867" s="1"/>
      <c r="L867" s="1"/>
      <c r="M867" s="113"/>
      <c r="N867" s="113"/>
      <c r="O867" s="1"/>
      <c r="P867" s="113"/>
      <c r="Q867" s="1"/>
      <c r="R867" s="1"/>
      <c r="S867" s="84"/>
      <c r="T867" s="84"/>
      <c r="U867" s="1"/>
      <c r="V867" s="1"/>
      <c r="W867" s="1"/>
      <c r="X867" s="1"/>
      <c r="Y867" s="1"/>
      <c r="Z867" s="1"/>
      <c r="AA867" s="1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</row>
    <row r="868" ht="15.75" customHeight="1">
      <c r="A868" s="1"/>
      <c r="B868" s="108"/>
      <c r="C868" s="108"/>
      <c r="D868" s="151"/>
      <c r="E868" s="109"/>
      <c r="F868" s="108"/>
      <c r="G868" s="109"/>
      <c r="H868" s="109"/>
      <c r="I868" s="108"/>
      <c r="J868" s="1"/>
      <c r="K868" s="1"/>
      <c r="L868" s="1"/>
      <c r="M868" s="113"/>
      <c r="N868" s="113"/>
      <c r="O868" s="55"/>
      <c r="P868" s="113"/>
      <c r="Q868" s="1"/>
      <c r="R868" s="1"/>
      <c r="S868" s="84"/>
      <c r="T868" s="84"/>
      <c r="U868" s="1"/>
      <c r="V868" s="1"/>
      <c r="W868" s="1"/>
      <c r="X868" s="1"/>
      <c r="Y868" s="1"/>
      <c r="Z868" s="1"/>
      <c r="AA868" s="1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</row>
    <row r="869" ht="15.75" customHeight="1">
      <c r="A869" s="1"/>
      <c r="B869" s="108"/>
      <c r="C869" s="108"/>
      <c r="D869" s="151"/>
      <c r="E869" s="109"/>
      <c r="F869" s="108"/>
      <c r="G869" s="109"/>
      <c r="H869" s="109"/>
      <c r="I869" s="108"/>
      <c r="J869" s="1"/>
      <c r="K869" s="1"/>
      <c r="L869" s="1"/>
      <c r="M869" s="111"/>
      <c r="N869" s="113"/>
      <c r="O869" s="55"/>
      <c r="P869" s="113"/>
      <c r="Q869" s="1"/>
      <c r="R869" s="1"/>
      <c r="S869" s="84"/>
      <c r="T869" s="84"/>
      <c r="U869" s="1"/>
      <c r="V869" s="1"/>
      <c r="W869" s="1"/>
      <c r="X869" s="1"/>
      <c r="Y869" s="1"/>
      <c r="Z869" s="1"/>
      <c r="AA869" s="1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</row>
    <row r="870" ht="15.75" customHeight="1">
      <c r="A870" s="1"/>
      <c r="B870" s="108"/>
      <c r="C870" s="108"/>
      <c r="D870" s="151"/>
      <c r="E870" s="109"/>
      <c r="F870" s="108"/>
      <c r="G870" s="109"/>
      <c r="H870" s="109"/>
      <c r="I870" s="108"/>
      <c r="J870" s="1"/>
      <c r="K870" s="1"/>
      <c r="L870" s="1"/>
      <c r="M870" s="111"/>
      <c r="N870" s="113"/>
      <c r="O870" s="55"/>
      <c r="P870" s="113"/>
      <c r="Q870" s="1"/>
      <c r="R870" s="1"/>
      <c r="S870" s="84"/>
      <c r="T870" s="84"/>
      <c r="U870" s="1"/>
      <c r="V870" s="1"/>
      <c r="W870" s="1"/>
      <c r="X870" s="1"/>
      <c r="Y870" s="1"/>
      <c r="Z870" s="1"/>
      <c r="AA870" s="1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</row>
    <row r="871" ht="15.75" customHeight="1">
      <c r="A871" s="1"/>
      <c r="B871" s="108"/>
      <c r="C871" s="108"/>
      <c r="D871" s="151"/>
      <c r="E871" s="109"/>
      <c r="F871" s="108"/>
      <c r="G871" s="109"/>
      <c r="H871" s="109"/>
      <c r="I871" s="108"/>
      <c r="J871" s="1"/>
      <c r="K871" s="1"/>
      <c r="L871" s="1"/>
      <c r="M871" s="111"/>
      <c r="N871" s="113"/>
      <c r="O871" s="55"/>
      <c r="P871" s="113"/>
      <c r="Q871" s="1"/>
      <c r="R871" s="1"/>
      <c r="S871" s="84"/>
      <c r="T871" s="84"/>
      <c r="U871" s="1"/>
      <c r="V871" s="1"/>
      <c r="W871" s="1"/>
      <c r="X871" s="1"/>
      <c r="Y871" s="1"/>
      <c r="Z871" s="1"/>
      <c r="AA871" s="1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</row>
    <row r="872" ht="15.75" customHeight="1">
      <c r="A872" s="1"/>
      <c r="B872" s="108"/>
      <c r="C872" s="108"/>
      <c r="D872" s="151"/>
      <c r="E872" s="109"/>
      <c r="F872" s="108"/>
      <c r="G872" s="109"/>
      <c r="H872" s="109"/>
      <c r="I872" s="108"/>
      <c r="J872" s="1"/>
      <c r="K872" s="1"/>
      <c r="L872" s="1"/>
      <c r="M872" s="111"/>
      <c r="N872" s="113"/>
      <c r="O872" s="55"/>
      <c r="P872" s="113"/>
      <c r="Q872" s="1"/>
      <c r="R872" s="1"/>
      <c r="S872" s="84"/>
      <c r="T872" s="84"/>
      <c r="U872" s="1"/>
      <c r="V872" s="1"/>
      <c r="W872" s="1"/>
      <c r="X872" s="1"/>
      <c r="Y872" s="1"/>
      <c r="Z872" s="1"/>
      <c r="AA872" s="1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</row>
    <row r="873" ht="15.75" customHeight="1">
      <c r="A873" s="1"/>
      <c r="B873" s="108"/>
      <c r="C873" s="108"/>
      <c r="D873" s="151"/>
      <c r="E873" s="109"/>
      <c r="F873" s="108"/>
      <c r="G873" s="109"/>
      <c r="H873" s="109"/>
      <c r="I873" s="108"/>
      <c r="J873" s="1"/>
      <c r="K873" s="1"/>
      <c r="L873" s="1"/>
      <c r="M873" s="111"/>
      <c r="N873" s="113"/>
      <c r="O873" s="55"/>
      <c r="P873" s="113"/>
      <c r="Q873" s="1"/>
      <c r="R873" s="1"/>
      <c r="S873" s="84"/>
      <c r="T873" s="84"/>
      <c r="U873" s="1"/>
      <c r="V873" s="1"/>
      <c r="W873" s="1"/>
      <c r="X873" s="1"/>
      <c r="Y873" s="1"/>
      <c r="Z873" s="1"/>
      <c r="AA873" s="1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</row>
    <row r="874" ht="15.75" customHeight="1">
      <c r="A874" s="1"/>
      <c r="B874" s="108"/>
      <c r="C874" s="108"/>
      <c r="D874" s="151"/>
      <c r="E874" s="109"/>
      <c r="F874" s="108"/>
      <c r="G874" s="109"/>
      <c r="H874" s="109"/>
      <c r="I874" s="108"/>
      <c r="J874" s="1"/>
      <c r="K874" s="1"/>
      <c r="L874" s="1"/>
      <c r="M874" s="111"/>
      <c r="N874" s="113"/>
      <c r="O874" s="55"/>
      <c r="P874" s="113"/>
      <c r="Q874" s="1"/>
      <c r="R874" s="1"/>
      <c r="S874" s="84"/>
      <c r="T874" s="84"/>
      <c r="U874" s="1"/>
      <c r="V874" s="1"/>
      <c r="W874" s="1"/>
      <c r="X874" s="1"/>
      <c r="Y874" s="1"/>
      <c r="Z874" s="1"/>
      <c r="AA874" s="1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</row>
    <row r="875" ht="15.75" customHeight="1">
      <c r="A875" s="1"/>
      <c r="B875" s="108"/>
      <c r="C875" s="108"/>
      <c r="D875" s="151"/>
      <c r="E875" s="109"/>
      <c r="F875" s="108"/>
      <c r="G875" s="109"/>
      <c r="H875" s="109"/>
      <c r="I875" s="108"/>
      <c r="J875" s="1"/>
      <c r="K875" s="1"/>
      <c r="L875" s="1"/>
      <c r="M875" s="111"/>
      <c r="N875" s="113"/>
      <c r="O875" s="55"/>
      <c r="P875" s="113"/>
      <c r="Q875" s="1"/>
      <c r="R875" s="1"/>
      <c r="S875" s="84"/>
      <c r="T875" s="84"/>
      <c r="U875" s="1"/>
      <c r="V875" s="1"/>
      <c r="W875" s="1"/>
      <c r="X875" s="1"/>
      <c r="Y875" s="1"/>
      <c r="Z875" s="1"/>
      <c r="AA875" s="1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</row>
    <row r="876" ht="15.75" customHeight="1">
      <c r="A876" s="1"/>
      <c r="B876" s="108"/>
      <c r="C876" s="108"/>
      <c r="D876" s="151"/>
      <c r="E876" s="109"/>
      <c r="F876" s="108"/>
      <c r="G876" s="109"/>
      <c r="H876" s="109"/>
      <c r="I876" s="108"/>
      <c r="J876" s="1"/>
      <c r="K876" s="1"/>
      <c r="L876" s="1"/>
      <c r="M876" s="111"/>
      <c r="N876" s="113"/>
      <c r="O876" s="55"/>
      <c r="P876" s="113"/>
      <c r="Q876" s="1"/>
      <c r="R876" s="1"/>
      <c r="S876" s="84"/>
      <c r="T876" s="84"/>
      <c r="U876" s="1"/>
      <c r="V876" s="1"/>
      <c r="W876" s="1"/>
      <c r="X876" s="1"/>
      <c r="Y876" s="1"/>
      <c r="Z876" s="1"/>
      <c r="AA876" s="1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</row>
    <row r="877" ht="15.75" customHeight="1">
      <c r="A877" s="1"/>
      <c r="B877" s="108"/>
      <c r="C877" s="108"/>
      <c r="D877" s="151"/>
      <c r="E877" s="109"/>
      <c r="F877" s="108"/>
      <c r="G877" s="109"/>
      <c r="H877" s="109"/>
      <c r="I877" s="108"/>
      <c r="J877" s="1"/>
      <c r="K877" s="1"/>
      <c r="L877" s="1"/>
      <c r="M877" s="111"/>
      <c r="N877" s="113"/>
      <c r="O877" s="55"/>
      <c r="P877" s="113"/>
      <c r="Q877" s="1"/>
      <c r="R877" s="1"/>
      <c r="S877" s="84"/>
      <c r="T877" s="84"/>
      <c r="U877" s="1"/>
      <c r="V877" s="1"/>
      <c r="W877" s="1"/>
      <c r="X877" s="1"/>
      <c r="Y877" s="1"/>
      <c r="Z877" s="1"/>
      <c r="AA877" s="1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</row>
    <row r="878" ht="15.75" customHeight="1">
      <c r="A878" s="1"/>
      <c r="B878" s="108"/>
      <c r="C878" s="108"/>
      <c r="D878" s="151"/>
      <c r="E878" s="109"/>
      <c r="F878" s="108"/>
      <c r="G878" s="109"/>
      <c r="H878" s="109"/>
      <c r="I878" s="108"/>
      <c r="J878" s="1"/>
      <c r="K878" s="1"/>
      <c r="L878" s="1"/>
      <c r="M878" s="113"/>
      <c r="N878" s="113"/>
      <c r="O878" s="55"/>
      <c r="P878" s="113"/>
      <c r="Q878" s="1"/>
      <c r="R878" s="1"/>
      <c r="S878" s="84"/>
      <c r="T878" s="84"/>
      <c r="U878" s="1"/>
      <c r="V878" s="1"/>
      <c r="W878" s="1"/>
      <c r="X878" s="1"/>
      <c r="Y878" s="1"/>
      <c r="Z878" s="1"/>
      <c r="AA878" s="1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</row>
    <row r="879" ht="15.75" customHeight="1">
      <c r="A879" s="1"/>
      <c r="B879" s="108"/>
      <c r="C879" s="108"/>
      <c r="D879" s="151"/>
      <c r="E879" s="109"/>
      <c r="F879" s="108"/>
      <c r="G879" s="109"/>
      <c r="H879" s="109"/>
      <c r="I879" s="108"/>
      <c r="J879" s="1"/>
      <c r="K879" s="1"/>
      <c r="L879" s="1"/>
      <c r="M879" s="113"/>
      <c r="N879" s="113"/>
      <c r="O879" s="55"/>
      <c r="P879" s="113"/>
      <c r="Q879" s="1"/>
      <c r="R879" s="1"/>
      <c r="S879" s="84"/>
      <c r="T879" s="84"/>
      <c r="U879" s="1"/>
      <c r="V879" s="1"/>
      <c r="W879" s="1"/>
      <c r="X879" s="1"/>
      <c r="Y879" s="1"/>
      <c r="Z879" s="1"/>
      <c r="AA879" s="1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</row>
    <row r="880" ht="15.75" customHeight="1">
      <c r="A880" s="1"/>
      <c r="B880" s="108"/>
      <c r="C880" s="108"/>
      <c r="D880" s="151"/>
      <c r="E880" s="109"/>
      <c r="F880" s="108"/>
      <c r="G880" s="109"/>
      <c r="H880" s="109"/>
      <c r="I880" s="108"/>
      <c r="J880" s="1"/>
      <c r="K880" s="1"/>
      <c r="L880" s="1"/>
      <c r="M880" s="113"/>
      <c r="N880" s="113"/>
      <c r="O880" s="1"/>
      <c r="P880" s="113"/>
      <c r="Q880" s="1"/>
      <c r="R880" s="1"/>
      <c r="S880" s="84"/>
      <c r="T880" s="84"/>
      <c r="U880" s="1"/>
      <c r="V880" s="1"/>
      <c r="W880" s="1"/>
      <c r="X880" s="1"/>
      <c r="Y880" s="1"/>
      <c r="Z880" s="1"/>
      <c r="AA880" s="1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</row>
    <row r="932" ht="15.75" customHeight="1">
      <c r="A932" s="1"/>
      <c r="B932" s="16"/>
      <c r="C932" s="16"/>
      <c r="D932" s="16"/>
      <c r="E932" s="16"/>
      <c r="F932" s="16"/>
      <c r="G932" s="16"/>
      <c r="H932" s="16"/>
      <c r="I932" s="1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</row>
    <row r="933" ht="15.75" customHeight="1">
      <c r="A933" s="1"/>
      <c r="B933" s="109"/>
      <c r="C933" s="109"/>
      <c r="D933" s="151"/>
      <c r="E933" s="109"/>
      <c r="F933" s="108"/>
      <c r="G933" s="109"/>
      <c r="H933" s="109"/>
      <c r="I933" s="109"/>
      <c r="J933" s="1"/>
      <c r="K933" s="1"/>
      <c r="L933" s="1"/>
      <c r="M933" s="111"/>
      <c r="N933" s="111"/>
      <c r="O933" s="113"/>
      <c r="P933" s="11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</row>
    <row r="934" ht="15.75" customHeight="1">
      <c r="A934" s="1"/>
      <c r="B934" s="108"/>
      <c r="C934" s="108"/>
      <c r="D934" s="151"/>
      <c r="E934" s="109"/>
      <c r="F934" s="108"/>
      <c r="G934" s="108"/>
      <c r="H934" s="109"/>
      <c r="I934" s="108"/>
      <c r="J934" s="1"/>
      <c r="K934" s="1"/>
      <c r="L934" s="1"/>
      <c r="M934" s="111"/>
      <c r="N934" s="111"/>
      <c r="O934" s="55"/>
      <c r="P934" s="111"/>
      <c r="Q934" s="1"/>
      <c r="R934" s="1"/>
      <c r="S934" s="84"/>
      <c r="T934" s="84"/>
      <c r="U934" s="1"/>
      <c r="V934" s="1"/>
      <c r="W934" s="1"/>
      <c r="X934" s="1"/>
      <c r="Y934" s="1"/>
      <c r="Z934" s="1"/>
      <c r="AA934" s="1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</row>
    <row r="935" ht="15.75" customHeight="1">
      <c r="A935" s="1"/>
      <c r="B935" s="108"/>
      <c r="C935" s="108"/>
      <c r="D935" s="151"/>
      <c r="E935" s="109"/>
      <c r="F935" s="108"/>
      <c r="G935" s="109"/>
      <c r="H935" s="109"/>
      <c r="I935" s="108"/>
      <c r="J935" s="1"/>
      <c r="K935" s="1"/>
      <c r="L935" s="1"/>
      <c r="M935" s="111"/>
      <c r="N935" s="111"/>
      <c r="O935" s="55"/>
      <c r="P935" s="111"/>
      <c r="Q935" s="1"/>
      <c r="R935" s="1"/>
      <c r="S935" s="84"/>
      <c r="T935" s="84"/>
      <c r="U935" s="1"/>
      <c r="V935" s="1"/>
      <c r="W935" s="1"/>
      <c r="X935" s="1"/>
      <c r="Y935" s="1"/>
      <c r="Z935" s="1"/>
      <c r="AA935" s="1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</row>
    <row r="936" ht="15.75" customHeight="1">
      <c r="A936" s="1"/>
      <c r="B936" s="108"/>
      <c r="C936" s="108"/>
      <c r="D936" s="151"/>
      <c r="E936" s="109"/>
      <c r="F936" s="108"/>
      <c r="G936" s="109"/>
      <c r="H936" s="109"/>
      <c r="I936" s="108"/>
      <c r="J936" s="1"/>
      <c r="K936" s="1"/>
      <c r="L936" s="1"/>
      <c r="M936" s="111"/>
      <c r="N936" s="111"/>
      <c r="O936" s="55"/>
      <c r="P936" s="111"/>
      <c r="Q936" s="1"/>
      <c r="R936" s="1"/>
      <c r="S936" s="84"/>
      <c r="T936" s="84"/>
      <c r="U936" s="1"/>
      <c r="V936" s="1"/>
      <c r="W936" s="1"/>
      <c r="X936" s="1"/>
      <c r="Y936" s="1"/>
      <c r="Z936" s="1"/>
      <c r="AA936" s="1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</row>
    <row r="937" ht="15.75" customHeight="1">
      <c r="A937" s="1"/>
      <c r="B937" s="108"/>
      <c r="C937" s="108"/>
      <c r="D937" s="151"/>
      <c r="E937" s="109"/>
      <c r="F937" s="108"/>
      <c r="G937" s="109"/>
      <c r="H937" s="109"/>
      <c r="I937" s="108"/>
      <c r="J937" s="1"/>
      <c r="K937" s="1"/>
      <c r="L937" s="1"/>
      <c r="M937" s="111"/>
      <c r="N937" s="111"/>
      <c r="O937" s="55"/>
      <c r="P937" s="111"/>
      <c r="Q937" s="1"/>
      <c r="R937" s="1"/>
      <c r="S937" s="84"/>
      <c r="T937" s="84"/>
      <c r="U937" s="1"/>
      <c r="V937" s="1"/>
      <c r="W937" s="1"/>
      <c r="X937" s="1"/>
      <c r="Y937" s="1"/>
      <c r="Z937" s="1"/>
      <c r="AA937" s="1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</row>
    <row r="938" ht="15.75" customHeight="1">
      <c r="A938" s="1"/>
      <c r="B938" s="108"/>
      <c r="C938" s="108"/>
      <c r="D938" s="151"/>
      <c r="E938" s="109"/>
      <c r="F938" s="108"/>
      <c r="G938" s="109"/>
      <c r="H938" s="109"/>
      <c r="I938" s="108"/>
      <c r="J938" s="1"/>
      <c r="K938" s="1"/>
      <c r="L938" s="1"/>
      <c r="M938" s="111"/>
      <c r="N938" s="111"/>
      <c r="O938" s="55"/>
      <c r="P938" s="111"/>
      <c r="Q938" s="1"/>
      <c r="R938" s="1"/>
      <c r="S938" s="84"/>
      <c r="T938" s="84"/>
      <c r="U938" s="1"/>
      <c r="V938" s="1"/>
      <c r="W938" s="1"/>
      <c r="X938" s="1"/>
      <c r="Y938" s="1"/>
      <c r="Z938" s="1"/>
      <c r="AA938" s="1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</row>
    <row r="939" ht="15.75" customHeight="1">
      <c r="A939" s="1"/>
      <c r="B939" s="108"/>
      <c r="C939" s="108"/>
      <c r="D939" s="151"/>
      <c r="E939" s="109"/>
      <c r="F939" s="108"/>
      <c r="G939" s="109"/>
      <c r="H939" s="109"/>
      <c r="I939" s="108"/>
      <c r="J939" s="1"/>
      <c r="K939" s="1"/>
      <c r="L939" s="1"/>
      <c r="M939" s="111"/>
      <c r="N939" s="111"/>
      <c r="O939" s="55"/>
      <c r="P939" s="111"/>
      <c r="Q939" s="1"/>
      <c r="R939" s="1"/>
      <c r="S939" s="84"/>
      <c r="T939" s="84"/>
      <c r="U939" s="1"/>
      <c r="V939" s="1"/>
      <c r="W939" s="1"/>
      <c r="X939" s="1"/>
      <c r="Y939" s="1"/>
      <c r="Z939" s="1"/>
      <c r="AA939" s="1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</row>
    <row r="940" ht="15.75" customHeight="1">
      <c r="A940" s="1"/>
      <c r="B940" s="108"/>
      <c r="C940" s="108"/>
      <c r="D940" s="151"/>
      <c r="E940" s="109"/>
      <c r="F940" s="108"/>
      <c r="G940" s="109"/>
      <c r="H940" s="109"/>
      <c r="I940" s="108"/>
      <c r="J940" s="1"/>
      <c r="K940" s="1"/>
      <c r="L940" s="1"/>
      <c r="M940" s="111"/>
      <c r="N940" s="111"/>
      <c r="O940" s="55"/>
      <c r="P940" s="111"/>
      <c r="Q940" s="1"/>
      <c r="R940" s="1"/>
      <c r="S940" s="84"/>
      <c r="T940" s="84"/>
      <c r="U940" s="1"/>
      <c r="V940" s="1"/>
      <c r="W940" s="1"/>
      <c r="X940" s="1"/>
      <c r="Y940" s="1"/>
      <c r="Z940" s="1"/>
      <c r="AA940" s="1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</row>
    <row r="941" ht="15.75" customHeight="1">
      <c r="A941" s="1"/>
      <c r="B941" s="108"/>
      <c r="C941" s="108"/>
      <c r="D941" s="151"/>
      <c r="E941" s="109"/>
      <c r="F941" s="108"/>
      <c r="G941" s="109"/>
      <c r="H941" s="109"/>
      <c r="I941" s="108"/>
      <c r="J941" s="1"/>
      <c r="K941" s="1"/>
      <c r="L941" s="1"/>
      <c r="M941" s="111"/>
      <c r="N941" s="111"/>
      <c r="O941" s="55"/>
      <c r="P941" s="111"/>
      <c r="Q941" s="1"/>
      <c r="R941" s="1"/>
      <c r="S941" s="84"/>
      <c r="T941" s="84"/>
      <c r="U941" s="1"/>
      <c r="V941" s="1"/>
      <c r="W941" s="1"/>
      <c r="X941" s="1"/>
      <c r="Y941" s="1"/>
      <c r="Z941" s="1"/>
      <c r="AA941" s="1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</row>
    <row r="942" ht="15.75" customHeight="1">
      <c r="A942" s="1"/>
      <c r="B942" s="108"/>
      <c r="C942" s="108"/>
      <c r="D942" s="151"/>
      <c r="E942" s="109"/>
      <c r="F942" s="108"/>
      <c r="G942" s="109"/>
      <c r="H942" s="109"/>
      <c r="I942" s="108"/>
      <c r="J942" s="1"/>
      <c r="K942" s="1"/>
      <c r="L942" s="1"/>
      <c r="M942" s="111"/>
      <c r="N942" s="111"/>
      <c r="O942" s="55"/>
      <c r="P942" s="111"/>
      <c r="Q942" s="1"/>
      <c r="R942" s="1"/>
      <c r="S942" s="84"/>
      <c r="T942" s="84"/>
      <c r="U942" s="1"/>
      <c r="V942" s="1"/>
      <c r="W942" s="1"/>
      <c r="X942" s="1"/>
      <c r="Y942" s="1"/>
      <c r="Z942" s="1"/>
      <c r="AA942" s="1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</row>
    <row r="943" ht="15.75" customHeight="1">
      <c r="A943" s="1"/>
      <c r="B943" s="108"/>
      <c r="C943" s="108"/>
      <c r="D943" s="151"/>
      <c r="E943" s="109"/>
      <c r="F943" s="108"/>
      <c r="G943" s="109"/>
      <c r="H943" s="109"/>
      <c r="I943" s="108"/>
      <c r="J943" s="1"/>
      <c r="K943" s="1"/>
      <c r="L943" s="1"/>
      <c r="M943" s="111"/>
      <c r="N943" s="111"/>
      <c r="O943" s="55"/>
      <c r="P943" s="111"/>
      <c r="Q943" s="1"/>
      <c r="R943" s="1"/>
      <c r="S943" s="84"/>
      <c r="T943" s="84"/>
      <c r="U943" s="1"/>
      <c r="V943" s="1"/>
      <c r="W943" s="1"/>
      <c r="X943" s="1"/>
      <c r="Y943" s="1"/>
      <c r="Z943" s="1"/>
      <c r="AA943" s="1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</row>
    <row r="944" ht="15.75" customHeight="1">
      <c r="A944" s="1"/>
      <c r="B944" s="108"/>
      <c r="C944" s="108"/>
      <c r="D944" s="151"/>
      <c r="E944" s="109"/>
      <c r="F944" s="108"/>
      <c r="G944" s="109"/>
      <c r="H944" s="109"/>
      <c r="I944" s="108"/>
      <c r="J944" s="1"/>
      <c r="K944" s="1"/>
      <c r="L944" s="1"/>
      <c r="M944" s="111"/>
      <c r="N944" s="111"/>
      <c r="O944" s="55"/>
      <c r="P944" s="111"/>
      <c r="Q944" s="1"/>
      <c r="R944" s="1"/>
      <c r="S944" s="84"/>
      <c r="T944" s="84"/>
      <c r="U944" s="1"/>
      <c r="V944" s="1"/>
      <c r="W944" s="1"/>
      <c r="X944" s="1"/>
      <c r="Y944" s="1"/>
      <c r="Z944" s="1"/>
      <c r="AA944" s="1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</row>
    <row r="945" ht="15.75" customHeight="1">
      <c r="A945" s="1"/>
      <c r="B945" s="108"/>
      <c r="C945" s="108"/>
      <c r="D945" s="151"/>
      <c r="E945" s="109"/>
      <c r="F945" s="108"/>
      <c r="G945" s="109"/>
      <c r="H945" s="109"/>
      <c r="I945" s="108"/>
      <c r="J945" s="1"/>
      <c r="K945" s="1"/>
      <c r="L945" s="1"/>
      <c r="M945" s="113"/>
      <c r="N945" s="113"/>
      <c r="O945" s="1"/>
      <c r="P945" s="113"/>
      <c r="Q945" s="1"/>
      <c r="R945" s="1"/>
      <c r="S945" s="84"/>
      <c r="T945" s="84"/>
      <c r="U945" s="1"/>
      <c r="V945" s="1"/>
      <c r="W945" s="1"/>
      <c r="X945" s="1"/>
      <c r="Y945" s="1"/>
      <c r="Z945" s="1"/>
      <c r="AA945" s="1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</row>
    <row r="946" ht="15.75" customHeight="1">
      <c r="A946" s="1"/>
      <c r="B946" s="108"/>
      <c r="C946" s="108"/>
      <c r="D946" s="151"/>
      <c r="E946" s="109"/>
      <c r="F946" s="108"/>
      <c r="G946" s="109"/>
      <c r="H946" s="109"/>
      <c r="I946" s="108"/>
      <c r="J946" s="1"/>
      <c r="K946" s="1"/>
      <c r="L946" s="1"/>
      <c r="M946" s="113"/>
      <c r="N946" s="113"/>
      <c r="O946" s="1"/>
      <c r="P946" s="113"/>
      <c r="Q946" s="1"/>
      <c r="R946" s="1"/>
      <c r="S946" s="84"/>
      <c r="T946" s="84"/>
      <c r="U946" s="1"/>
      <c r="V946" s="1"/>
      <c r="W946" s="1"/>
      <c r="X946" s="1"/>
      <c r="Y946" s="1"/>
      <c r="Z946" s="1"/>
      <c r="AA946" s="1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</row>
    <row r="947" ht="15.75" customHeight="1">
      <c r="A947" s="1"/>
      <c r="B947" s="108"/>
      <c r="C947" s="108"/>
      <c r="D947" s="151"/>
      <c r="E947" s="109"/>
      <c r="F947" s="108"/>
      <c r="G947" s="109"/>
      <c r="H947" s="109"/>
      <c r="I947" s="108"/>
      <c r="J947" s="1"/>
      <c r="K947" s="1"/>
      <c r="L947" s="1"/>
      <c r="M947" s="113"/>
      <c r="N947" s="113"/>
      <c r="O947" s="1"/>
      <c r="P947" s="113"/>
      <c r="Q947" s="1"/>
      <c r="R947" s="1"/>
      <c r="S947" s="84"/>
      <c r="T947" s="84"/>
      <c r="U947" s="1"/>
      <c r="V947" s="1"/>
      <c r="W947" s="1"/>
      <c r="X947" s="1"/>
      <c r="Y947" s="1"/>
      <c r="Z947" s="1"/>
      <c r="AA947" s="1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</row>
    <row r="948" ht="15.75" customHeight="1">
      <c r="A948" s="1"/>
      <c r="B948" s="108"/>
      <c r="C948" s="108"/>
      <c r="D948" s="151"/>
      <c r="E948" s="109"/>
      <c r="F948" s="108"/>
      <c r="G948" s="109"/>
      <c r="H948" s="109"/>
      <c r="I948" s="108"/>
      <c r="J948" s="1"/>
      <c r="K948" s="1"/>
      <c r="L948" s="1"/>
      <c r="M948" s="113"/>
      <c r="N948" s="113"/>
      <c r="O948" s="55"/>
      <c r="P948" s="113"/>
      <c r="Q948" s="1"/>
      <c r="R948" s="1"/>
      <c r="S948" s="84"/>
      <c r="T948" s="84"/>
      <c r="U948" s="1"/>
      <c r="V948" s="1"/>
      <c r="W948" s="1"/>
      <c r="X948" s="1"/>
      <c r="Y948" s="1"/>
      <c r="Z948" s="1"/>
      <c r="AA948" s="1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</row>
    <row r="949" ht="15.75" customHeight="1">
      <c r="A949" s="1"/>
      <c r="B949" s="108"/>
      <c r="C949" s="108"/>
      <c r="D949" s="151"/>
      <c r="E949" s="109"/>
      <c r="F949" s="108"/>
      <c r="G949" s="109"/>
      <c r="H949" s="109"/>
      <c r="I949" s="108"/>
      <c r="J949" s="1"/>
      <c r="K949" s="1"/>
      <c r="L949" s="1"/>
      <c r="M949" s="111"/>
      <c r="N949" s="113"/>
      <c r="O949" s="55"/>
      <c r="P949" s="113"/>
      <c r="Q949" s="1"/>
      <c r="R949" s="1"/>
      <c r="S949" s="84"/>
      <c r="T949" s="84"/>
      <c r="U949" s="1"/>
      <c r="V949" s="1"/>
      <c r="W949" s="1"/>
      <c r="X949" s="1"/>
      <c r="Y949" s="1"/>
      <c r="Z949" s="1"/>
      <c r="AA949" s="1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</row>
    <row r="950" ht="15.75" customHeight="1">
      <c r="A950" s="1"/>
      <c r="B950" s="108"/>
      <c r="C950" s="108"/>
      <c r="D950" s="151"/>
      <c r="E950" s="109"/>
      <c r="F950" s="108"/>
      <c r="G950" s="109"/>
      <c r="H950" s="109"/>
      <c r="I950" s="108"/>
      <c r="J950" s="1"/>
      <c r="K950" s="1"/>
      <c r="L950" s="1"/>
      <c r="M950" s="111"/>
      <c r="N950" s="113"/>
      <c r="O950" s="55"/>
      <c r="P950" s="113"/>
      <c r="Q950" s="1"/>
      <c r="R950" s="1"/>
      <c r="S950" s="84"/>
      <c r="T950" s="84"/>
      <c r="U950" s="1"/>
      <c r="V950" s="1"/>
      <c r="W950" s="1"/>
      <c r="X950" s="1"/>
      <c r="Y950" s="1"/>
      <c r="Z950" s="1"/>
      <c r="AA950" s="1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</row>
    <row r="951" ht="15.75" customHeight="1">
      <c r="A951" s="1"/>
      <c r="B951" s="108"/>
      <c r="C951" s="108"/>
      <c r="D951" s="151"/>
      <c r="E951" s="109"/>
      <c r="F951" s="108"/>
      <c r="G951" s="109"/>
      <c r="H951" s="109"/>
      <c r="I951" s="108"/>
      <c r="J951" s="1"/>
      <c r="K951" s="1"/>
      <c r="L951" s="1"/>
      <c r="M951" s="111"/>
      <c r="N951" s="113"/>
      <c r="O951" s="55"/>
      <c r="P951" s="113"/>
      <c r="Q951" s="1"/>
      <c r="R951" s="1"/>
      <c r="S951" s="84"/>
      <c r="T951" s="84"/>
      <c r="U951" s="1"/>
      <c r="V951" s="1"/>
      <c r="W951" s="1"/>
      <c r="X951" s="1"/>
      <c r="Y951" s="1"/>
      <c r="Z951" s="1"/>
      <c r="AA951" s="1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</row>
    <row r="952" ht="15.75" customHeight="1">
      <c r="A952" s="1"/>
      <c r="B952" s="108"/>
      <c r="C952" s="108"/>
      <c r="D952" s="151"/>
      <c r="E952" s="109"/>
      <c r="F952" s="108"/>
      <c r="G952" s="109"/>
      <c r="H952" s="109"/>
      <c r="I952" s="108"/>
      <c r="J952" s="1"/>
      <c r="K952" s="1"/>
      <c r="L952" s="1"/>
      <c r="M952" s="111"/>
      <c r="N952" s="113"/>
      <c r="O952" s="55"/>
      <c r="P952" s="113"/>
      <c r="Q952" s="1"/>
      <c r="R952" s="1"/>
      <c r="S952" s="84"/>
      <c r="T952" s="84"/>
      <c r="U952" s="1"/>
      <c r="V952" s="1"/>
      <c r="W952" s="1"/>
      <c r="X952" s="1"/>
      <c r="Y952" s="1"/>
      <c r="Z952" s="1"/>
      <c r="AA952" s="1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</row>
    <row r="953" ht="15.75" customHeight="1">
      <c r="A953" s="1"/>
      <c r="B953" s="108"/>
      <c r="C953" s="108"/>
      <c r="D953" s="151"/>
      <c r="E953" s="109"/>
      <c r="F953" s="108"/>
      <c r="G953" s="109"/>
      <c r="H953" s="109"/>
      <c r="I953" s="108"/>
      <c r="J953" s="1"/>
      <c r="K953" s="1"/>
      <c r="L953" s="1"/>
      <c r="M953" s="111"/>
      <c r="N953" s="113"/>
      <c r="O953" s="55"/>
      <c r="P953" s="113"/>
      <c r="Q953" s="1"/>
      <c r="R953" s="1"/>
      <c r="S953" s="84"/>
      <c r="T953" s="84"/>
      <c r="U953" s="1"/>
      <c r="V953" s="1"/>
      <c r="W953" s="1"/>
      <c r="X953" s="1"/>
      <c r="Y953" s="1"/>
      <c r="Z953" s="1"/>
      <c r="AA953" s="1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</row>
    <row r="954" ht="15.75" customHeight="1">
      <c r="A954" s="1"/>
      <c r="B954" s="108"/>
      <c r="C954" s="108"/>
      <c r="D954" s="151"/>
      <c r="E954" s="109"/>
      <c r="F954" s="108"/>
      <c r="G954" s="109"/>
      <c r="H954" s="109"/>
      <c r="I954" s="108"/>
      <c r="J954" s="1"/>
      <c r="K954" s="1"/>
      <c r="L954" s="1"/>
      <c r="M954" s="111"/>
      <c r="N954" s="113"/>
      <c r="O954" s="55"/>
      <c r="P954" s="113"/>
      <c r="Q954" s="1"/>
      <c r="R954" s="1"/>
      <c r="S954" s="84"/>
      <c r="T954" s="84"/>
      <c r="U954" s="1"/>
      <c r="V954" s="1"/>
      <c r="W954" s="1"/>
      <c r="X954" s="1"/>
      <c r="Y954" s="1"/>
      <c r="Z954" s="1"/>
      <c r="AA954" s="1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</row>
    <row r="955" ht="15.75" customHeight="1">
      <c r="A955" s="1"/>
      <c r="B955" s="108"/>
      <c r="C955" s="108"/>
      <c r="D955" s="151"/>
      <c r="E955" s="109"/>
      <c r="F955" s="108"/>
      <c r="G955" s="109"/>
      <c r="H955" s="109"/>
      <c r="I955" s="108"/>
      <c r="J955" s="1"/>
      <c r="K955" s="1"/>
      <c r="L955" s="1"/>
      <c r="M955" s="111"/>
      <c r="N955" s="113"/>
      <c r="O955" s="55"/>
      <c r="P955" s="113"/>
      <c r="Q955" s="1"/>
      <c r="R955" s="1"/>
      <c r="S955" s="84"/>
      <c r="T955" s="84"/>
      <c r="U955" s="1"/>
      <c r="V955" s="1"/>
      <c r="W955" s="1"/>
      <c r="X955" s="1"/>
      <c r="Y955" s="1"/>
      <c r="Z955" s="1"/>
      <c r="AA955" s="1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</row>
    <row r="956" ht="15.75" customHeight="1">
      <c r="A956" s="1"/>
      <c r="B956" s="108"/>
      <c r="C956" s="108"/>
      <c r="D956" s="151"/>
      <c r="E956" s="109"/>
      <c r="F956" s="108"/>
      <c r="G956" s="109"/>
      <c r="H956" s="109"/>
      <c r="I956" s="108"/>
      <c r="J956" s="1"/>
      <c r="K956" s="1"/>
      <c r="L956" s="1"/>
      <c r="M956" s="111"/>
      <c r="N956" s="113"/>
      <c r="O956" s="55"/>
      <c r="P956" s="113"/>
      <c r="Q956" s="1"/>
      <c r="R956" s="1"/>
      <c r="S956" s="84"/>
      <c r="T956" s="84"/>
      <c r="U956" s="1"/>
      <c r="V956" s="1"/>
      <c r="W956" s="1"/>
      <c r="X956" s="1"/>
      <c r="Y956" s="1"/>
      <c r="Z956" s="1"/>
      <c r="AA956" s="1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</row>
    <row r="957" ht="15.75" customHeight="1">
      <c r="A957" s="1"/>
      <c r="B957" s="108"/>
      <c r="C957" s="108"/>
      <c r="D957" s="151"/>
      <c r="E957" s="109"/>
      <c r="F957" s="108"/>
      <c r="G957" s="109"/>
      <c r="H957" s="109"/>
      <c r="I957" s="108"/>
      <c r="J957" s="1"/>
      <c r="K957" s="1"/>
      <c r="L957" s="1"/>
      <c r="M957" s="111"/>
      <c r="N957" s="113"/>
      <c r="O957" s="55"/>
      <c r="P957" s="113"/>
      <c r="Q957" s="1"/>
      <c r="R957" s="1"/>
      <c r="S957" s="84"/>
      <c r="T957" s="84"/>
      <c r="U957" s="1"/>
      <c r="V957" s="1"/>
      <c r="W957" s="1"/>
      <c r="X957" s="1"/>
      <c r="Y957" s="1"/>
      <c r="Z957" s="1"/>
      <c r="AA957" s="1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</row>
    <row r="958" ht="15.75" customHeight="1">
      <c r="A958" s="1"/>
      <c r="B958" s="108"/>
      <c r="C958" s="108"/>
      <c r="D958" s="151"/>
      <c r="E958" s="109"/>
      <c r="F958" s="108"/>
      <c r="G958" s="109"/>
      <c r="H958" s="109"/>
      <c r="I958" s="108"/>
      <c r="J958" s="1"/>
      <c r="K958" s="1"/>
      <c r="L958" s="1"/>
      <c r="M958" s="113"/>
      <c r="N958" s="113"/>
      <c r="O958" s="55"/>
      <c r="P958" s="113"/>
      <c r="Q958" s="1"/>
      <c r="R958" s="1"/>
      <c r="S958" s="84"/>
      <c r="T958" s="84"/>
      <c r="U958" s="1"/>
      <c r="V958" s="1"/>
      <c r="W958" s="1"/>
      <c r="X958" s="1"/>
      <c r="Y958" s="1"/>
      <c r="Z958" s="1"/>
      <c r="AA958" s="1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</row>
    <row r="959" ht="15.75" customHeight="1">
      <c r="A959" s="1"/>
      <c r="B959" s="108"/>
      <c r="C959" s="108"/>
      <c r="D959" s="151"/>
      <c r="E959" s="109"/>
      <c r="F959" s="108"/>
      <c r="G959" s="109"/>
      <c r="H959" s="109"/>
      <c r="I959" s="108"/>
      <c r="J959" s="1"/>
      <c r="K959" s="1"/>
      <c r="L959" s="1"/>
      <c r="M959" s="113"/>
      <c r="N959" s="113"/>
      <c r="O959" s="55"/>
      <c r="P959" s="113"/>
      <c r="Q959" s="1"/>
      <c r="R959" s="1"/>
      <c r="S959" s="84"/>
      <c r="T959" s="84"/>
      <c r="U959" s="1"/>
      <c r="V959" s="1"/>
      <c r="W959" s="1"/>
      <c r="X959" s="1"/>
      <c r="Y959" s="1"/>
      <c r="Z959" s="1"/>
      <c r="AA959" s="1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</row>
    <row r="960" ht="15.75" customHeight="1">
      <c r="A960" s="1"/>
      <c r="B960" s="108"/>
      <c r="C960" s="108"/>
      <c r="D960" s="151"/>
      <c r="E960" s="109"/>
      <c r="F960" s="108"/>
      <c r="G960" s="109"/>
      <c r="H960" s="109"/>
      <c r="I960" s="108"/>
      <c r="J960" s="1"/>
      <c r="K960" s="1"/>
      <c r="L960" s="1"/>
      <c r="M960" s="113"/>
      <c r="N960" s="113"/>
      <c r="O960" s="1"/>
      <c r="P960" s="113"/>
      <c r="Q960" s="1"/>
      <c r="R960" s="1"/>
      <c r="S960" s="84"/>
      <c r="T960" s="84"/>
      <c r="U960" s="1"/>
      <c r="V960" s="1"/>
      <c r="W960" s="1"/>
      <c r="X960" s="1"/>
      <c r="Y960" s="1"/>
      <c r="Z960" s="1"/>
      <c r="AA960" s="1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86"/>
  </cols>
  <sheetData>
    <row r="1">
      <c r="A1" s="12" t="s">
        <v>11</v>
      </c>
      <c r="B1" s="12" t="s">
        <v>9</v>
      </c>
      <c r="C1" s="12" t="s">
        <v>9</v>
      </c>
      <c r="D1" s="12" t="s">
        <v>9</v>
      </c>
      <c r="E1" s="12" t="s">
        <v>9</v>
      </c>
      <c r="F1" s="12" t="s">
        <v>9</v>
      </c>
      <c r="G1" s="12" t="s">
        <v>9</v>
      </c>
      <c r="H1" s="12" t="s">
        <v>9</v>
      </c>
      <c r="I1" s="12" t="s">
        <v>9</v>
      </c>
      <c r="J1" s="12" t="s">
        <v>9</v>
      </c>
      <c r="K1" s="12" t="s">
        <v>9</v>
      </c>
      <c r="L1" s="12" t="s">
        <v>9</v>
      </c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>
      <c r="A2" s="12" t="s">
        <v>38</v>
      </c>
      <c r="B2" s="22" t="s">
        <v>9</v>
      </c>
      <c r="C2" s="22" t="s">
        <v>39</v>
      </c>
      <c r="D2" s="22" t="s">
        <v>41</v>
      </c>
      <c r="E2" s="22" t="s">
        <v>42</v>
      </c>
      <c r="F2" s="24" t="s">
        <v>43</v>
      </c>
      <c r="G2" s="24" t="s">
        <v>45</v>
      </c>
      <c r="H2" s="24" t="s">
        <v>46</v>
      </c>
      <c r="I2" s="24" t="s">
        <v>48</v>
      </c>
      <c r="J2" s="24" t="s">
        <v>50</v>
      </c>
      <c r="K2" s="24" t="s">
        <v>51</v>
      </c>
      <c r="L2" s="24" t="s">
        <v>52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>
      <c r="A3" s="12" t="s">
        <v>57</v>
      </c>
      <c r="B3" s="27">
        <v>0.47</v>
      </c>
      <c r="C3" s="27">
        <v>0.47</v>
      </c>
      <c r="D3" s="27">
        <v>0.47</v>
      </c>
      <c r="E3" s="27">
        <v>0.52</v>
      </c>
      <c r="F3" s="29">
        <v>0.47</v>
      </c>
      <c r="G3" s="29">
        <v>0.36</v>
      </c>
      <c r="H3" s="29">
        <v>0.41</v>
      </c>
      <c r="I3" s="29">
        <v>0.39</v>
      </c>
      <c r="J3" s="29">
        <v>0.49</v>
      </c>
      <c r="K3" s="29">
        <v>0.47</v>
      </c>
      <c r="L3" s="29">
        <v>0.39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>
      <c r="A4" s="12" t="s">
        <v>69</v>
      </c>
      <c r="B4" s="30">
        <v>4.3</v>
      </c>
      <c r="C4" s="30">
        <v>4.3</v>
      </c>
      <c r="D4" s="30">
        <v>4.3</v>
      </c>
      <c r="E4" s="30">
        <v>4.73</v>
      </c>
      <c r="F4" s="32">
        <v>5.25</v>
      </c>
      <c r="G4" s="32">
        <v>3.87</v>
      </c>
      <c r="H4" s="32">
        <v>4.95</v>
      </c>
      <c r="I4" s="32">
        <v>3.87</v>
      </c>
      <c r="J4" s="32">
        <v>4.95</v>
      </c>
      <c r="K4" s="32">
        <v>4.73</v>
      </c>
      <c r="L4" s="32">
        <v>4.95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>
      <c r="A6" s="12" t="s">
        <v>11</v>
      </c>
      <c r="B6" s="12" t="s">
        <v>10</v>
      </c>
      <c r="C6" s="12" t="s">
        <v>10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12" t="s">
        <v>10</v>
      </c>
      <c r="J6" s="12" t="s">
        <v>10</v>
      </c>
      <c r="K6" s="12" t="s">
        <v>10</v>
      </c>
      <c r="L6" s="12" t="s">
        <v>10</v>
      </c>
      <c r="M6" s="12" t="s">
        <v>10</v>
      </c>
      <c r="N6" s="15"/>
      <c r="O6" s="1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>
      <c r="A7" s="12" t="s">
        <v>38</v>
      </c>
      <c r="B7" s="22" t="s">
        <v>40</v>
      </c>
      <c r="C7" s="22" t="s">
        <v>58</v>
      </c>
      <c r="D7" s="22" t="s">
        <v>71</v>
      </c>
      <c r="E7" s="22" t="s">
        <v>89</v>
      </c>
      <c r="F7" s="22" t="s">
        <v>100</v>
      </c>
      <c r="G7" s="22" t="s">
        <v>102</v>
      </c>
      <c r="H7" s="36" t="s">
        <v>103</v>
      </c>
      <c r="I7" s="24" t="s">
        <v>104</v>
      </c>
      <c r="J7" s="24" t="s">
        <v>105</v>
      </c>
      <c r="K7" s="24" t="s">
        <v>106</v>
      </c>
      <c r="L7" s="24" t="s">
        <v>107</v>
      </c>
      <c r="M7" s="24" t="s">
        <v>108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>
      <c r="A8" s="12" t="s">
        <v>57</v>
      </c>
      <c r="B8" s="27">
        <v>0.7</v>
      </c>
      <c r="C8" s="27">
        <v>0.74</v>
      </c>
      <c r="D8" s="27">
        <v>0.48</v>
      </c>
      <c r="E8" s="27">
        <v>0.58</v>
      </c>
      <c r="F8" s="27">
        <v>0.7</v>
      </c>
      <c r="G8" s="27">
        <v>0.7</v>
      </c>
      <c r="H8" s="27">
        <v>0.52</v>
      </c>
      <c r="I8" s="38">
        <v>0.74</v>
      </c>
      <c r="J8" s="38">
        <v>0.52</v>
      </c>
      <c r="K8" s="38">
        <v>0.7</v>
      </c>
      <c r="L8" s="38">
        <v>0.64</v>
      </c>
      <c r="M8" s="38">
        <v>0.7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>
      <c r="A9" s="12" t="s">
        <v>69</v>
      </c>
      <c r="B9" s="30">
        <v>7.5</v>
      </c>
      <c r="C9" s="30">
        <v>7.88</v>
      </c>
      <c r="D9" s="30">
        <v>9.375</v>
      </c>
      <c r="E9" s="30">
        <v>7.5</v>
      </c>
      <c r="F9" s="30">
        <v>9.375</v>
      </c>
      <c r="G9" s="30">
        <v>10.125</v>
      </c>
      <c r="H9" s="30">
        <v>7.5</v>
      </c>
      <c r="I9" s="32">
        <v>9.98</v>
      </c>
      <c r="J9" s="32">
        <v>8.25</v>
      </c>
      <c r="K9" s="32">
        <v>8.25</v>
      </c>
      <c r="L9" s="32">
        <v>7.5</v>
      </c>
      <c r="M9" s="32">
        <v>10.5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>
      <c r="A11" s="42" t="s">
        <v>11</v>
      </c>
      <c r="B11" s="12" t="s">
        <v>13</v>
      </c>
      <c r="C11" s="12" t="s">
        <v>13</v>
      </c>
      <c r="D11" s="12" t="s">
        <v>13</v>
      </c>
      <c r="E11" s="12" t="s">
        <v>13</v>
      </c>
      <c r="F11" s="12" t="s">
        <v>13</v>
      </c>
      <c r="G11" s="12" t="s">
        <v>13</v>
      </c>
      <c r="H11" s="12" t="s">
        <v>13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>
      <c r="A12" s="42" t="s">
        <v>38</v>
      </c>
      <c r="B12" s="22" t="s">
        <v>13</v>
      </c>
      <c r="C12" s="22" t="s">
        <v>59</v>
      </c>
      <c r="D12" s="22" t="s">
        <v>72</v>
      </c>
      <c r="E12" s="22" t="s">
        <v>90</v>
      </c>
      <c r="F12" s="22" t="s">
        <v>113</v>
      </c>
      <c r="G12" s="24" t="s">
        <v>124</v>
      </c>
      <c r="H12" s="24" t="s">
        <v>132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>
      <c r="A13" s="42" t="s">
        <v>57</v>
      </c>
      <c r="B13" s="27">
        <v>1.17</v>
      </c>
      <c r="C13" s="27">
        <v>1.17</v>
      </c>
      <c r="D13" s="27">
        <v>1.17</v>
      </c>
      <c r="E13" s="27">
        <v>1.17</v>
      </c>
      <c r="F13" s="27">
        <v>1.17</v>
      </c>
      <c r="G13" s="29">
        <v>1.3</v>
      </c>
      <c r="H13" s="29">
        <v>1.11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>
      <c r="A14" s="42" t="s">
        <v>69</v>
      </c>
      <c r="B14" s="43">
        <v>6.0</v>
      </c>
      <c r="C14" s="43">
        <v>6.3</v>
      </c>
      <c r="D14" s="43">
        <v>6.6</v>
      </c>
      <c r="E14" s="43">
        <v>6.9</v>
      </c>
      <c r="F14" s="43">
        <v>7.8</v>
      </c>
      <c r="G14" s="45">
        <v>7.2</v>
      </c>
      <c r="H14" s="45">
        <v>6.72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>
      <c r="A15" s="16"/>
      <c r="B15" s="16"/>
      <c r="C15" s="1"/>
      <c r="D15" s="1"/>
      <c r="E15" s="1"/>
      <c r="F15" s="1"/>
      <c r="G15" s="1"/>
      <c r="H15" s="1"/>
      <c r="I15" s="47"/>
      <c r="J15" s="47"/>
      <c r="K15" s="47"/>
      <c r="L15" s="47"/>
      <c r="M15" s="1"/>
      <c r="N15" s="1"/>
      <c r="O15" s="1"/>
      <c r="P15" s="1"/>
      <c r="Q15" s="1"/>
      <c r="R15" s="1"/>
      <c r="S15" s="1"/>
      <c r="T15" s="49"/>
      <c r="U15" s="49"/>
      <c r="V15" s="49"/>
      <c r="W15" s="49"/>
      <c r="X15" s="49"/>
      <c r="Y15" s="1"/>
      <c r="Z15" s="1"/>
      <c r="AA15" s="1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>
      <c r="A16" s="42" t="s">
        <v>11</v>
      </c>
      <c r="B16" s="12" t="s">
        <v>15</v>
      </c>
      <c r="C16" s="12" t="s">
        <v>15</v>
      </c>
      <c r="D16" s="12" t="s">
        <v>15</v>
      </c>
      <c r="E16" s="12" t="s">
        <v>15</v>
      </c>
      <c r="F16" s="12" t="s">
        <v>15</v>
      </c>
      <c r="G16" s="1"/>
      <c r="H16" s="1"/>
      <c r="I16" s="47"/>
      <c r="J16" s="47"/>
      <c r="K16" s="47"/>
      <c r="L16" s="47"/>
      <c r="M16" s="1"/>
      <c r="N16" s="1"/>
      <c r="O16" s="1"/>
      <c r="P16" s="1"/>
      <c r="Q16" s="1"/>
      <c r="R16" s="1"/>
      <c r="S16" s="1"/>
      <c r="T16" s="49"/>
      <c r="Y16" s="1"/>
      <c r="Z16" s="1"/>
      <c r="AA16" s="1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>
      <c r="A17" s="42" t="s">
        <v>38</v>
      </c>
      <c r="B17" s="22" t="s">
        <v>44</v>
      </c>
      <c r="C17" s="22" t="s">
        <v>60</v>
      </c>
      <c r="D17" s="22" t="s">
        <v>73</v>
      </c>
      <c r="E17" s="22" t="s">
        <v>91</v>
      </c>
      <c r="F17" s="20" t="s">
        <v>114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Y17" s="1"/>
      <c r="Z17" s="1"/>
      <c r="AA17" s="1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>
      <c r="A18" s="42" t="s">
        <v>57</v>
      </c>
      <c r="B18" s="27">
        <v>0.55</v>
      </c>
      <c r="C18" s="27">
        <v>0.63</v>
      </c>
      <c r="D18" s="27">
        <v>0.74</v>
      </c>
      <c r="E18" s="27">
        <v>0.51</v>
      </c>
      <c r="F18" s="23">
        <v>0.51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Y18" s="1"/>
      <c r="Z18" s="1"/>
      <c r="AA18" s="1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>
      <c r="A19" s="42" t="s">
        <v>69</v>
      </c>
      <c r="B19" s="43">
        <v>7.6</v>
      </c>
      <c r="C19" s="43">
        <v>8.0</v>
      </c>
      <c r="D19" s="43">
        <v>9.6</v>
      </c>
      <c r="E19" s="43">
        <v>8.0</v>
      </c>
      <c r="F19" s="51">
        <v>10.0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Y19" s="1"/>
      <c r="Z19" s="1"/>
      <c r="AA19" s="1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>
      <c r="A20" s="16"/>
      <c r="B20" s="1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7"/>
      <c r="S20" s="1"/>
      <c r="T20" s="49"/>
      <c r="Y20" s="1"/>
      <c r="Z20" s="1"/>
      <c r="AA20" s="1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ht="15.75" customHeight="1">
      <c r="A21" s="42" t="s">
        <v>11</v>
      </c>
      <c r="B21" s="12" t="s">
        <v>17</v>
      </c>
      <c r="C21" s="12" t="s">
        <v>17</v>
      </c>
      <c r="D21" s="12" t="s">
        <v>17</v>
      </c>
      <c r="E21" s="12" t="s">
        <v>17</v>
      </c>
      <c r="F21" s="12" t="s">
        <v>17</v>
      </c>
      <c r="G21" s="1"/>
      <c r="H21" s="1"/>
      <c r="I21" s="1"/>
      <c r="J21" s="1"/>
      <c r="K21" s="1"/>
      <c r="L21" s="1"/>
      <c r="M21" s="1"/>
      <c r="S21" s="1"/>
      <c r="Y21" s="1"/>
      <c r="Z21" s="1"/>
      <c r="AA21" s="1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ht="15.75" customHeight="1">
      <c r="A22" s="42" t="s">
        <v>38</v>
      </c>
      <c r="B22" s="22" t="s">
        <v>17</v>
      </c>
      <c r="C22" s="22" t="s">
        <v>61</v>
      </c>
      <c r="D22" s="22" t="s">
        <v>76</v>
      </c>
      <c r="E22" s="22" t="s">
        <v>92</v>
      </c>
      <c r="F22" s="52" t="s">
        <v>115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Y22" s="1"/>
      <c r="Z22" s="1"/>
      <c r="AA22" s="1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ht="15.75" customHeight="1">
      <c r="A23" s="42" t="s">
        <v>57</v>
      </c>
      <c r="B23" s="27">
        <v>0.88</v>
      </c>
      <c r="C23" s="27">
        <v>0.88</v>
      </c>
      <c r="D23" s="27">
        <v>0.88</v>
      </c>
      <c r="E23" s="27">
        <v>0.88</v>
      </c>
      <c r="F23" s="23">
        <v>0.88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55"/>
      <c r="U23" s="55"/>
      <c r="V23" s="55"/>
      <c r="W23" s="55"/>
      <c r="X23" s="55"/>
      <c r="Y23" s="1"/>
      <c r="Z23" s="1"/>
      <c r="AA23" s="1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ht="15.75" customHeight="1">
      <c r="A24" s="42" t="s">
        <v>69</v>
      </c>
      <c r="B24" s="43">
        <v>7.0</v>
      </c>
      <c r="C24" s="43">
        <v>7.35</v>
      </c>
      <c r="D24" s="43">
        <v>7.7</v>
      </c>
      <c r="E24" s="43">
        <v>8.05</v>
      </c>
      <c r="F24" s="51">
        <v>8.4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55"/>
      <c r="U24" s="55"/>
      <c r="V24" s="55"/>
      <c r="W24" s="55"/>
      <c r="X24" s="55"/>
      <c r="Y24" s="1"/>
      <c r="Z24" s="1"/>
      <c r="AA24" s="1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ht="15.75" customHeight="1">
      <c r="A25" s="1"/>
      <c r="B25" s="16"/>
      <c r="C25" s="1"/>
      <c r="D25" s="1"/>
      <c r="E25" s="1"/>
      <c r="F25" s="1"/>
      <c r="G25" s="1"/>
      <c r="H25" s="4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ht="15.75" customHeight="1">
      <c r="A26" s="42" t="s">
        <v>11</v>
      </c>
      <c r="B26" s="12" t="s">
        <v>18</v>
      </c>
      <c r="C26" s="12" t="s">
        <v>18</v>
      </c>
      <c r="D26" s="12" t="s">
        <v>18</v>
      </c>
      <c r="E26" s="12" t="s">
        <v>18</v>
      </c>
      <c r="F26" s="12" t="s">
        <v>18</v>
      </c>
      <c r="G26" s="12" t="s">
        <v>18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ht="15.75" customHeight="1">
      <c r="A27" s="42" t="s">
        <v>38</v>
      </c>
      <c r="B27" s="22" t="s">
        <v>47</v>
      </c>
      <c r="C27" s="22" t="s">
        <v>62</v>
      </c>
      <c r="D27" s="22" t="s">
        <v>78</v>
      </c>
      <c r="E27" s="22" t="s">
        <v>93</v>
      </c>
      <c r="F27" s="22" t="s">
        <v>116</v>
      </c>
      <c r="G27" s="22" t="s">
        <v>125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ht="15.75" customHeight="1">
      <c r="A28" s="42" t="s">
        <v>57</v>
      </c>
      <c r="B28" s="27">
        <v>0.69</v>
      </c>
      <c r="C28" s="27">
        <v>0.73</v>
      </c>
      <c r="D28" s="27">
        <v>0.69</v>
      </c>
      <c r="E28" s="27">
        <v>0.58</v>
      </c>
      <c r="F28" s="27">
        <v>0.63</v>
      </c>
      <c r="G28" s="27">
        <v>0.69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60"/>
      <c r="U28" s="55"/>
      <c r="V28" s="55"/>
      <c r="W28" s="55"/>
      <c r="X28" s="55"/>
      <c r="Y28" s="1"/>
      <c r="Z28" s="1"/>
      <c r="AA28" s="1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ht="15.75" customHeight="1">
      <c r="A29" s="42" t="s">
        <v>69</v>
      </c>
      <c r="B29" s="43">
        <v>8.5</v>
      </c>
      <c r="C29" s="43">
        <v>8.925</v>
      </c>
      <c r="D29" s="43">
        <v>9.35</v>
      </c>
      <c r="E29" s="43">
        <v>10.2</v>
      </c>
      <c r="F29" s="43">
        <v>9.35</v>
      </c>
      <c r="G29" s="43">
        <v>8.5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9"/>
      <c r="Y29" s="1"/>
      <c r="Z29" s="1"/>
      <c r="AA29" s="1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Y30" s="1"/>
      <c r="Z30" s="1"/>
      <c r="AA30" s="1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ht="15.75" customHeight="1">
      <c r="A31" s="42" t="s">
        <v>11</v>
      </c>
      <c r="B31" s="65" t="s">
        <v>20</v>
      </c>
      <c r="C31" s="65" t="s">
        <v>20</v>
      </c>
      <c r="D31" s="65" t="s">
        <v>20</v>
      </c>
      <c r="E31" s="65" t="s">
        <v>20</v>
      </c>
      <c r="F31" s="65" t="s">
        <v>20</v>
      </c>
      <c r="G31" s="6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Y31" s="1"/>
      <c r="Z31" s="1"/>
      <c r="AA31" s="1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ht="15.75" customHeight="1">
      <c r="A32" s="42" t="s">
        <v>38</v>
      </c>
      <c r="B32" s="69" t="s">
        <v>49</v>
      </c>
      <c r="C32" s="69" t="s">
        <v>63</v>
      </c>
      <c r="D32" s="69" t="s">
        <v>79</v>
      </c>
      <c r="E32" s="69" t="s">
        <v>94</v>
      </c>
      <c r="F32" s="69" t="s">
        <v>117</v>
      </c>
      <c r="G32" s="67"/>
      <c r="H32" s="1"/>
      <c r="I32" s="1"/>
      <c r="J32" s="1"/>
      <c r="K32" s="1"/>
      <c r="L32" s="1"/>
      <c r="M32" s="1"/>
      <c r="N32" s="47"/>
      <c r="S32" s="1"/>
      <c r="Y32" s="1"/>
      <c r="Z32" s="1"/>
      <c r="AA32" s="1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ht="15.75" customHeight="1">
      <c r="A33" s="42" t="s">
        <v>57</v>
      </c>
      <c r="B33" s="38">
        <v>1.2</v>
      </c>
      <c r="C33" s="38" t="s">
        <v>198</v>
      </c>
      <c r="D33" s="38">
        <v>1.33</v>
      </c>
      <c r="E33" s="38">
        <v>1.09</v>
      </c>
      <c r="F33" s="38">
        <v>1.26</v>
      </c>
      <c r="G33" s="67"/>
      <c r="H33" s="1"/>
      <c r="I33" s="1"/>
      <c r="J33" s="1"/>
      <c r="K33" s="1"/>
      <c r="L33" s="1"/>
      <c r="M33" s="1"/>
      <c r="S33" s="1"/>
      <c r="Y33" s="1"/>
      <c r="Z33" s="1"/>
      <c r="AA33" s="1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ht="15.75" customHeight="1">
      <c r="A34" s="42" t="s">
        <v>69</v>
      </c>
      <c r="B34" s="43">
        <v>12.0</v>
      </c>
      <c r="C34" s="43">
        <v>12.0</v>
      </c>
      <c r="D34" s="43">
        <v>15.0</v>
      </c>
      <c r="E34" s="43">
        <v>13.8</v>
      </c>
      <c r="F34" s="43">
        <v>14.4</v>
      </c>
      <c r="G34" s="47"/>
      <c r="H34" s="47"/>
      <c r="M34" s="1"/>
      <c r="N34" s="1"/>
      <c r="O34" s="1"/>
      <c r="P34" s="1"/>
      <c r="Q34" s="1"/>
      <c r="R34" s="1"/>
      <c r="S34" s="1"/>
      <c r="Y34" s="1"/>
      <c r="Z34" s="1"/>
      <c r="AA34" s="1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ht="15.75" customHeight="1">
      <c r="A35" s="60"/>
      <c r="B35" s="1"/>
      <c r="C35" s="1"/>
      <c r="D35" s="1"/>
      <c r="E35" s="1"/>
      <c r="F35" s="1"/>
      <c r="G35" s="1"/>
      <c r="M35" s="1"/>
      <c r="N35" s="1"/>
      <c r="O35" s="1"/>
      <c r="P35" s="1"/>
      <c r="Q35" s="1"/>
      <c r="R35" s="1"/>
      <c r="S35" s="1"/>
      <c r="Y35" s="1"/>
      <c r="Z35" s="1"/>
      <c r="AA35" s="1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ht="15.75" customHeight="1">
      <c r="A36" s="42" t="s">
        <v>11</v>
      </c>
      <c r="B36" s="65" t="s">
        <v>22</v>
      </c>
      <c r="C36" s="65" t="s">
        <v>22</v>
      </c>
      <c r="D36" s="65" t="s">
        <v>22</v>
      </c>
      <c r="E36" s="65" t="s">
        <v>22</v>
      </c>
      <c r="F36" s="65" t="s">
        <v>22</v>
      </c>
      <c r="G36" s="65" t="s">
        <v>22</v>
      </c>
      <c r="H36" s="65" t="s">
        <v>22</v>
      </c>
      <c r="I36" s="65" t="s">
        <v>22</v>
      </c>
      <c r="J36" s="65" t="s">
        <v>22</v>
      </c>
      <c r="K36" s="65" t="s">
        <v>22</v>
      </c>
      <c r="L36" s="1"/>
      <c r="M36" s="1"/>
      <c r="N36" s="1"/>
      <c r="O36" s="1"/>
      <c r="P36" s="1"/>
      <c r="Q36" s="1"/>
      <c r="R36" s="1"/>
      <c r="S36" s="1"/>
      <c r="Y36" s="1"/>
      <c r="Z36" s="1"/>
      <c r="AA36" s="1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ht="15.75" customHeight="1">
      <c r="A37" s="42" t="s">
        <v>38</v>
      </c>
      <c r="B37" s="69" t="s">
        <v>22</v>
      </c>
      <c r="C37" s="69" t="s">
        <v>64</v>
      </c>
      <c r="D37" s="69" t="s">
        <v>80</v>
      </c>
      <c r="E37" s="69" t="s">
        <v>95</v>
      </c>
      <c r="F37" s="69" t="s">
        <v>118</v>
      </c>
      <c r="G37" s="69" t="s">
        <v>126</v>
      </c>
      <c r="H37" s="69" t="s">
        <v>133</v>
      </c>
      <c r="I37" s="69" t="s">
        <v>140</v>
      </c>
      <c r="J37" s="69" t="s">
        <v>145</v>
      </c>
      <c r="K37" s="69" t="s">
        <v>203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ht="15.75" customHeight="1">
      <c r="A38" s="42" t="s">
        <v>57</v>
      </c>
      <c r="B38" s="38">
        <v>0.73</v>
      </c>
      <c r="C38" s="38">
        <v>0.73</v>
      </c>
      <c r="D38" s="38">
        <v>0.66</v>
      </c>
      <c r="E38" s="38">
        <v>0.79</v>
      </c>
      <c r="F38" s="38">
        <v>0.6</v>
      </c>
      <c r="G38" s="38">
        <v>0.76</v>
      </c>
      <c r="H38" s="38">
        <v>0.73</v>
      </c>
      <c r="I38" s="38">
        <v>0.66</v>
      </c>
      <c r="J38" s="38">
        <v>0.66</v>
      </c>
      <c r="K38" s="38">
        <v>0.73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ht="15.75" customHeight="1">
      <c r="A39" s="42" t="s">
        <v>69</v>
      </c>
      <c r="B39" s="43">
        <v>7.5</v>
      </c>
      <c r="C39" s="43">
        <v>7.5</v>
      </c>
      <c r="D39" s="43">
        <v>9.75</v>
      </c>
      <c r="E39" s="43">
        <v>9.0</v>
      </c>
      <c r="F39" s="43">
        <v>7.5</v>
      </c>
      <c r="G39" s="43">
        <v>10.5</v>
      </c>
      <c r="H39" s="43">
        <v>7.5</v>
      </c>
      <c r="I39" s="43">
        <v>10.13</v>
      </c>
      <c r="J39" s="43">
        <v>10.5</v>
      </c>
      <c r="K39" s="43">
        <v>10.88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ht="15.75" customHeight="1">
      <c r="A40" s="6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55"/>
      <c r="U40" s="55"/>
      <c r="V40" s="55"/>
      <c r="W40" s="55"/>
      <c r="X40" s="55"/>
      <c r="Y40" s="1"/>
      <c r="Z40" s="1"/>
      <c r="AA40" s="1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ht="15.75" customHeight="1">
      <c r="A41" s="42" t="s">
        <v>11</v>
      </c>
      <c r="B41" s="65" t="s">
        <v>24</v>
      </c>
      <c r="C41" s="65" t="s">
        <v>24</v>
      </c>
      <c r="D41" s="65" t="s">
        <v>24</v>
      </c>
      <c r="E41" s="65" t="s">
        <v>24</v>
      </c>
      <c r="F41" s="65" t="s">
        <v>24</v>
      </c>
      <c r="G41" s="65" t="s">
        <v>24</v>
      </c>
      <c r="H41" s="65" t="s">
        <v>24</v>
      </c>
      <c r="I41" s="65" t="s">
        <v>24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55"/>
      <c r="U41" s="55"/>
      <c r="V41" s="55"/>
      <c r="W41" s="55"/>
      <c r="X41" s="55"/>
      <c r="Y41" s="1"/>
      <c r="Z41" s="1"/>
      <c r="AA41" s="1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ht="15.75" customHeight="1">
      <c r="A42" s="42" t="s">
        <v>38</v>
      </c>
      <c r="B42" s="69" t="s">
        <v>53</v>
      </c>
      <c r="C42" s="69" t="s">
        <v>65</v>
      </c>
      <c r="D42" s="69" t="s">
        <v>81</v>
      </c>
      <c r="E42" s="69" t="s">
        <v>96</v>
      </c>
      <c r="F42" s="69" t="s">
        <v>119</v>
      </c>
      <c r="G42" s="69" t="s">
        <v>127</v>
      </c>
      <c r="H42" s="69" t="s">
        <v>134</v>
      </c>
      <c r="I42" s="69" t="s">
        <v>141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55"/>
      <c r="U42" s="55"/>
      <c r="V42" s="55"/>
      <c r="W42" s="55"/>
      <c r="X42" s="55"/>
      <c r="Y42" s="1"/>
      <c r="Z42" s="1"/>
      <c r="AA42" s="1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ht="15.75" customHeight="1">
      <c r="A43" s="42" t="s">
        <v>57</v>
      </c>
      <c r="B43" s="38">
        <v>1.7</v>
      </c>
      <c r="C43" s="38">
        <v>1.54</v>
      </c>
      <c r="D43" s="38">
        <v>1.62</v>
      </c>
      <c r="E43" s="38">
        <v>1.47</v>
      </c>
      <c r="F43" s="38">
        <v>1.54</v>
      </c>
      <c r="G43" s="38">
        <v>1.7</v>
      </c>
      <c r="H43" s="38">
        <v>1.62</v>
      </c>
      <c r="I43" s="38">
        <v>1.35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55"/>
      <c r="U43" s="55"/>
      <c r="V43" s="55"/>
      <c r="W43" s="55"/>
      <c r="X43" s="55"/>
      <c r="Y43" s="1"/>
      <c r="Z43" s="1"/>
      <c r="AA43" s="1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ht="15.75" customHeight="1">
      <c r="A44" s="42" t="s">
        <v>69</v>
      </c>
      <c r="B44" s="43">
        <v>15.75</v>
      </c>
      <c r="C44" s="43">
        <v>14.25</v>
      </c>
      <c r="D44" s="43">
        <v>17.25</v>
      </c>
      <c r="E44" s="43">
        <v>18.75</v>
      </c>
      <c r="F44" s="43">
        <v>14.25</v>
      </c>
      <c r="G44" s="43">
        <v>19.5</v>
      </c>
      <c r="H44" s="43">
        <v>18.0</v>
      </c>
      <c r="I44" s="43">
        <v>19.5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ht="15.75" customHeight="1">
      <c r="A45" s="6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ht="15.75" customHeight="1">
      <c r="A46" s="42" t="s">
        <v>11</v>
      </c>
      <c r="B46" s="65" t="s">
        <v>26</v>
      </c>
      <c r="C46" s="65" t="s">
        <v>26</v>
      </c>
      <c r="D46" s="65" t="s">
        <v>26</v>
      </c>
      <c r="E46" s="65" t="s">
        <v>26</v>
      </c>
      <c r="F46" s="65" t="s">
        <v>26</v>
      </c>
      <c r="G46" s="65" t="s">
        <v>26</v>
      </c>
      <c r="H46" s="65" t="s">
        <v>26</v>
      </c>
      <c r="I46" s="65" t="s">
        <v>26</v>
      </c>
      <c r="J46" s="65" t="s">
        <v>26</v>
      </c>
      <c r="K46" s="65" t="s">
        <v>26</v>
      </c>
      <c r="L46" s="65" t="s">
        <v>26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ht="15.75" customHeight="1">
      <c r="A47" s="42" t="s">
        <v>38</v>
      </c>
      <c r="B47" s="69" t="s">
        <v>20</v>
      </c>
      <c r="C47" s="69" t="s">
        <v>66</v>
      </c>
      <c r="D47" s="69" t="s">
        <v>82</v>
      </c>
      <c r="E47" s="69" t="s">
        <v>97</v>
      </c>
      <c r="F47" s="69" t="s">
        <v>120</v>
      </c>
      <c r="G47" s="69" t="s">
        <v>128</v>
      </c>
      <c r="H47" s="69" t="s">
        <v>135</v>
      </c>
      <c r="I47" s="69" t="s">
        <v>142</v>
      </c>
      <c r="J47" s="69" t="s">
        <v>146</v>
      </c>
      <c r="K47" s="69" t="s">
        <v>153</v>
      </c>
      <c r="L47" s="69" t="s">
        <v>157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ht="15.75" customHeight="1">
      <c r="A48" s="42" t="s">
        <v>57</v>
      </c>
      <c r="B48" s="38">
        <v>1.4</v>
      </c>
      <c r="C48" s="38">
        <v>1.56</v>
      </c>
      <c r="D48" s="38">
        <v>1.75</v>
      </c>
      <c r="E48" s="38">
        <v>1.4</v>
      </c>
      <c r="F48" s="38">
        <v>1.4</v>
      </c>
      <c r="G48" s="38">
        <v>1.4</v>
      </c>
      <c r="H48" s="38">
        <v>1.28</v>
      </c>
      <c r="I48" s="38">
        <v>1.4</v>
      </c>
      <c r="J48" s="38">
        <v>1.56</v>
      </c>
      <c r="K48" s="38">
        <v>1.4</v>
      </c>
      <c r="L48" s="38">
        <v>1.4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ht="15.75" customHeight="1">
      <c r="A49" s="42" t="s">
        <v>69</v>
      </c>
      <c r="B49" s="43">
        <v>20.0</v>
      </c>
      <c r="C49" s="43">
        <v>22.0</v>
      </c>
      <c r="D49" s="43">
        <v>24.0</v>
      </c>
      <c r="E49" s="43">
        <v>22.0</v>
      </c>
      <c r="F49" s="43">
        <v>18.0</v>
      </c>
      <c r="G49" s="43">
        <v>26.0</v>
      </c>
      <c r="H49" s="43">
        <v>22.0</v>
      </c>
      <c r="I49" s="43">
        <v>23.0</v>
      </c>
      <c r="J49" s="43">
        <v>25.0</v>
      </c>
      <c r="K49" s="43">
        <v>23.4</v>
      </c>
      <c r="L49" s="43">
        <v>27.0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ht="15.75" customHeight="1">
      <c r="A50" s="60"/>
      <c r="B50" s="84"/>
      <c r="C50" s="84"/>
      <c r="D50" s="84"/>
      <c r="E50" s="84"/>
      <c r="F50" s="8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ht="15.75" customHeight="1">
      <c r="A51" s="1"/>
      <c r="B51" s="84"/>
      <c r="C51" s="84"/>
      <c r="D51" s="84"/>
      <c r="E51" s="84"/>
      <c r="F51" s="8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ht="15.75" customHeight="1">
      <c r="A52" s="16"/>
      <c r="B52" s="16"/>
      <c r="C52" s="16"/>
      <c r="D52" s="16"/>
      <c r="E52" s="1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ht="15.75" customHeight="1">
      <c r="A53" s="3" t="s">
        <v>219</v>
      </c>
      <c r="H53" s="3" t="s">
        <v>220</v>
      </c>
      <c r="I53" s="86"/>
      <c r="J53" s="86"/>
      <c r="K53" s="8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ht="15.75" customHeight="1">
      <c r="A54" s="22" t="s">
        <v>222</v>
      </c>
      <c r="B54" s="69" t="s">
        <v>224</v>
      </c>
      <c r="C54" s="69" t="s">
        <v>86</v>
      </c>
      <c r="D54" s="69" t="s">
        <v>225</v>
      </c>
      <c r="E54" s="69" t="s">
        <v>226</v>
      </c>
      <c r="F54" s="69" t="s">
        <v>227</v>
      </c>
      <c r="G54" s="87" t="s">
        <v>222</v>
      </c>
      <c r="H54" s="27" t="s">
        <v>0</v>
      </c>
      <c r="I54" s="88"/>
      <c r="J54" s="88"/>
      <c r="K54" s="88"/>
      <c r="L54" s="8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ht="15.75" customHeight="1">
      <c r="A55" s="89" t="s">
        <v>228</v>
      </c>
      <c r="B55" s="90"/>
      <c r="C55" s="45" t="s">
        <v>229</v>
      </c>
      <c r="D55" s="90"/>
      <c r="E55" s="90"/>
      <c r="F55" s="91"/>
      <c r="G55" s="92"/>
      <c r="H55" s="27" t="str">
        <f>"+1"</f>
        <v>+1</v>
      </c>
      <c r="I55" s="93"/>
      <c r="J55" s="93"/>
      <c r="K55" s="93"/>
      <c r="L55" s="9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ht="15.75" customHeight="1">
      <c r="A56" s="95" t="s">
        <v>230</v>
      </c>
      <c r="B56" s="96" t="s">
        <v>232</v>
      </c>
      <c r="C56" s="97" t="s">
        <v>233</v>
      </c>
      <c r="D56" s="98"/>
      <c r="E56" s="98"/>
      <c r="F56" s="99"/>
      <c r="G56" s="92"/>
      <c r="H56" s="27" t="str">
        <f>"+2"</f>
        <v>+2</v>
      </c>
      <c r="I56" s="93"/>
      <c r="J56" s="93"/>
      <c r="K56" s="93"/>
      <c r="L56" s="9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ht="15.75" customHeight="1">
      <c r="A57" s="95" t="s">
        <v>151</v>
      </c>
      <c r="B57" s="96" t="s">
        <v>232</v>
      </c>
      <c r="C57" s="97" t="s">
        <v>237</v>
      </c>
      <c r="D57" s="98"/>
      <c r="E57" s="98"/>
      <c r="F57" s="99"/>
      <c r="G57" s="92"/>
      <c r="H57" s="27" t="str">
        <f>"+3"</f>
        <v>+3</v>
      </c>
      <c r="I57" s="93"/>
      <c r="J57" s="93"/>
      <c r="K57" s="93"/>
      <c r="L57" s="10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ht="15.75" customHeight="1">
      <c r="A58" s="95" t="s">
        <v>238</v>
      </c>
      <c r="B58" s="98" t="s">
        <v>187</v>
      </c>
      <c r="C58" s="97" t="s">
        <v>239</v>
      </c>
      <c r="D58" s="98" t="str">
        <f>"+1.75% Lethality | -0.5% Swiftness"</f>
        <v>+1.75% Lethality | -0.5% Swiftness</v>
      </c>
      <c r="E58" s="98" t="str">
        <f>"+17.5% Lethality | -5% Swiftness"</f>
        <v>+17.5% Lethality | -5% Swiftness</v>
      </c>
      <c r="F58" s="101" t="s">
        <v>240</v>
      </c>
      <c r="G58" s="92"/>
      <c r="H58" s="27" t="str">
        <f>"+4"</f>
        <v>+4</v>
      </c>
      <c r="I58" s="93"/>
      <c r="J58" s="93"/>
      <c r="K58" s="93"/>
      <c r="L58" s="9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ht="15.75" customHeight="1">
      <c r="A59" s="95" t="s">
        <v>241</v>
      </c>
      <c r="B59" s="98" t="s">
        <v>187</v>
      </c>
      <c r="C59" s="97" t="s">
        <v>242</v>
      </c>
      <c r="D59" s="98" t="str">
        <f>"+2% Lethality"</f>
        <v>+2% Lethality</v>
      </c>
      <c r="E59" s="98" t="str">
        <f>"+20% Lethality"</f>
        <v>+20% Lethality</v>
      </c>
      <c r="F59" s="101" t="s">
        <v>244</v>
      </c>
      <c r="G59" s="92"/>
      <c r="H59" s="27" t="str">
        <f>"+5"</f>
        <v>+5</v>
      </c>
      <c r="I59" s="93"/>
      <c r="J59" s="93"/>
      <c r="K59" s="93"/>
      <c r="L59" s="9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ht="15.75" customHeight="1">
      <c r="A60" s="95" t="s">
        <v>246</v>
      </c>
      <c r="B60" s="98" t="s">
        <v>187</v>
      </c>
      <c r="C60" s="97" t="s">
        <v>247</v>
      </c>
      <c r="D60" s="98" t="str">
        <f>"Deals +1% of weapon damage as poison per second for 0.3 seconds. 3.3% chance on hit"</f>
        <v>Deals +1% of weapon damage as poison per second for 0.3 seconds. 3.3% chance on hit</v>
      </c>
      <c r="E60" s="98" t="str">
        <f>"Deals +10% of weapon damage as poison per second for 3 seconds. 33% chance on hit"</f>
        <v>Deals +10% of weapon damage as poison per second for 3 seconds. 33% chance on hit</v>
      </c>
      <c r="F60" s="101" t="s">
        <v>248</v>
      </c>
      <c r="G60" s="92"/>
      <c r="H60" s="27" t="str">
        <f>"+6"</f>
        <v>+6</v>
      </c>
      <c r="I60" s="93"/>
      <c r="J60" s="93"/>
      <c r="K60" s="93"/>
      <c r="L60" s="9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ht="15.75" customHeight="1">
      <c r="A61" s="95" t="s">
        <v>249</v>
      </c>
      <c r="B61" s="98" t="s">
        <v>232</v>
      </c>
      <c r="C61" s="97" t="s">
        <v>250</v>
      </c>
      <c r="D61" s="98"/>
      <c r="E61" s="98"/>
      <c r="F61" s="101"/>
      <c r="G61" s="92"/>
      <c r="H61" s="27" t="str">
        <f>"+7"</f>
        <v>+7</v>
      </c>
      <c r="I61" s="93"/>
      <c r="J61" s="93"/>
      <c r="K61" s="93"/>
      <c r="L61" s="9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ht="15.75" customHeight="1">
      <c r="A62" s="95" t="s">
        <v>251</v>
      </c>
      <c r="B62" s="98" t="s">
        <v>232</v>
      </c>
      <c r="C62" s="97" t="s">
        <v>252</v>
      </c>
      <c r="D62" s="110"/>
      <c r="E62" s="110"/>
      <c r="F62" s="112"/>
      <c r="G62" s="92"/>
      <c r="H62" s="27" t="str">
        <f>"+8"</f>
        <v>+8</v>
      </c>
      <c r="I62" s="93"/>
      <c r="J62" s="93"/>
      <c r="K62" s="93"/>
      <c r="L62" s="9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ht="15.75" customHeight="1">
      <c r="A63" s="95" t="s">
        <v>255</v>
      </c>
      <c r="B63" s="110"/>
      <c r="C63" s="97" t="s">
        <v>256</v>
      </c>
      <c r="D63" s="98"/>
      <c r="E63" s="98"/>
      <c r="F63" s="115"/>
      <c r="G63" s="92"/>
      <c r="H63" s="27" t="str">
        <f>"+9"</f>
        <v>+9</v>
      </c>
      <c r="I63" s="93"/>
      <c r="J63" s="93"/>
      <c r="K63" s="93"/>
      <c r="L63" s="9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ht="15.75" customHeight="1">
      <c r="A64" s="95" t="s">
        <v>257</v>
      </c>
      <c r="B64" s="98" t="s">
        <v>187</v>
      </c>
      <c r="C64" s="97" t="s">
        <v>258</v>
      </c>
      <c r="D64" s="98" t="str">
        <f>"+2% Critical Chance | +0.5% Critical Damage | Freeze enemies for 0.2 seconds. 1.5% chance on hit. Has cooldown of 15"</f>
        <v>+2% Critical Chance | +0.5% Critical Damage | Freeze enemies for 0.2 seconds. 1.5% chance on hit. Has cooldown of 15</v>
      </c>
      <c r="E64" s="98" t="str">
        <f>"+20% Critical Chance | +5% Critical Damage | Freeze enemies for 2 seconds. 15% chance on hit. Has cooldown of 15"</f>
        <v>+20% Critical Chance | +5% Critical Damage | Freeze enemies for 2 seconds. 15% chance on hit. Has cooldown of 15</v>
      </c>
      <c r="F64" s="101" t="s">
        <v>259</v>
      </c>
      <c r="G64" s="92"/>
      <c r="H64" s="27" t="str">
        <f>"+10"</f>
        <v>+10</v>
      </c>
      <c r="I64" s="93"/>
      <c r="J64" s="93"/>
      <c r="K64" s="93"/>
      <c r="L64" s="9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ht="15.75" customHeight="1">
      <c r="A65" s="95" t="s">
        <v>260</v>
      </c>
      <c r="B65" s="98" t="s">
        <v>232</v>
      </c>
      <c r="C65" s="97" t="s">
        <v>262</v>
      </c>
      <c r="D65" s="98"/>
      <c r="E65" s="98"/>
      <c r="F65" s="115"/>
      <c r="G65" s="116"/>
      <c r="H65" s="93"/>
      <c r="I65" s="93"/>
      <c r="J65" s="93"/>
      <c r="K65" s="93"/>
      <c r="L65" s="10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ht="15.75" customHeight="1">
      <c r="A66" s="95" t="s">
        <v>263</v>
      </c>
      <c r="B66" s="98" t="s">
        <v>232</v>
      </c>
      <c r="C66" s="97" t="s">
        <v>264</v>
      </c>
      <c r="D66" s="98"/>
      <c r="E66" s="98"/>
      <c r="F66" s="101"/>
      <c r="G66" s="92"/>
      <c r="H66" s="93"/>
      <c r="I66" s="93"/>
      <c r="J66" s="93"/>
      <c r="K66" s="93"/>
      <c r="L66" s="9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ht="15.75" customHeight="1">
      <c r="A67" s="95" t="s">
        <v>265</v>
      </c>
      <c r="B67" s="98" t="s">
        <v>187</v>
      </c>
      <c r="C67" s="97" t="s">
        <v>266</v>
      </c>
      <c r="D67" s="98" t="str">
        <f>"Slows enemies by 1.5% for 0.3s with 3% chance on hit"</f>
        <v>Slows enemies by 1.5% for 0.3s with 3% chance on hit</v>
      </c>
      <c r="E67" s="98" t="str">
        <f>"Slows enemies by 15% for 3s with 30% chance on hit"</f>
        <v>Slows enemies by 15% for 3s with 30% chance on hit</v>
      </c>
      <c r="F67" s="101" t="s">
        <v>267</v>
      </c>
      <c r="G67" s="92"/>
      <c r="H67" s="93"/>
      <c r="I67" s="93"/>
      <c r="J67" s="93"/>
      <c r="K67" s="93"/>
      <c r="L67" s="9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ht="15.75" customHeight="1">
      <c r="A68" s="95" t="s">
        <v>268</v>
      </c>
      <c r="B68" s="98" t="s">
        <v>187</v>
      </c>
      <c r="C68" s="97" t="s">
        <v>269</v>
      </c>
      <c r="D68" s="98" t="str">
        <f>"+2.5% Moonboost (Physical Damage at night time)"</f>
        <v>+2.5% Moonboost (Physical Damage at night time)</v>
      </c>
      <c r="E68" s="98" t="str">
        <f>"+25% Moonboost (Physical Damage at night time)"</f>
        <v>+25% Moonboost (Physical Damage at night time)</v>
      </c>
      <c r="F68" s="101" t="s">
        <v>270</v>
      </c>
      <c r="G68" s="92"/>
      <c r="H68" s="93"/>
      <c r="I68" s="93"/>
      <c r="J68" s="93"/>
      <c r="K68" s="93"/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ht="15.75" customHeight="1">
      <c r="A69" s="95" t="s">
        <v>271</v>
      </c>
      <c r="B69" s="98" t="s">
        <v>187</v>
      </c>
      <c r="C69" s="97" t="s">
        <v>252</v>
      </c>
      <c r="D69" s="98" t="str">
        <f>"+3.3% Crit Chance | +1.5% Crit Damage | -1.5% Vitality"</f>
        <v>+3.3% Crit Chance | +1.5% Crit Damage | -1.5% Vitality</v>
      </c>
      <c r="E69" s="98" t="str">
        <f>"+33% Crit Chance | +15% Crit Damage | -15% Vitality"</f>
        <v>+33% Crit Chance | +15% Crit Damage | -15% Vitality</v>
      </c>
      <c r="F69" s="101" t="s">
        <v>272</v>
      </c>
      <c r="G69" s="92"/>
      <c r="H69" s="93"/>
      <c r="I69" s="93"/>
      <c r="J69" s="93"/>
      <c r="K69" s="93"/>
      <c r="L69" s="9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ht="15.75" customHeight="1">
      <c r="A70" s="95" t="s">
        <v>273</v>
      </c>
      <c r="B70" s="110"/>
      <c r="C70" s="97" t="s">
        <v>274</v>
      </c>
      <c r="D70" s="98"/>
      <c r="E70" s="98"/>
      <c r="F70" s="119"/>
      <c r="G70" s="92"/>
      <c r="H70" s="93"/>
      <c r="I70" s="93"/>
      <c r="J70" s="93"/>
      <c r="K70" s="93"/>
      <c r="L70" s="9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ht="15.75" customHeight="1">
      <c r="A71" s="95" t="s">
        <v>275</v>
      </c>
      <c r="B71" s="96" t="s">
        <v>187</v>
      </c>
      <c r="C71" s="122" t="s">
        <v>266</v>
      </c>
      <c r="D71" s="96" t="str">
        <f>"+3% Critical Chance | +1% Critical Damage | +1% Attack Speed"</f>
        <v>+3% Critical Chance | +1% Critical Damage | +1% Attack Speed</v>
      </c>
      <c r="E71" s="96" t="str">
        <f>"+30% Critical Chance | +10% Critical Damage | +10% Attack Speed"</f>
        <v>+30% Critical Chance | +10% Critical Damage | +10% Attack Speed</v>
      </c>
      <c r="F71" s="123" t="s">
        <v>240</v>
      </c>
      <c r="G71" s="92"/>
      <c r="H71" s="93"/>
      <c r="I71" s="93"/>
      <c r="J71" s="93"/>
      <c r="K71" s="93"/>
      <c r="L71" s="9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ht="15.75" customHeight="1">
      <c r="A72" s="95" t="s">
        <v>280</v>
      </c>
      <c r="B72" s="96" t="s">
        <v>187</v>
      </c>
      <c r="C72" s="122" t="s">
        <v>282</v>
      </c>
      <c r="D72" s="96" t="str">
        <f>"Freeze enemies for 0.2 seconds. 2.5% chance on hit. Has cooldown of 12sec"</f>
        <v>Freeze enemies for 0.2 seconds. 2.5% chance on hit. Has cooldown of 12sec</v>
      </c>
      <c r="E72" s="96" t="str">
        <f>"Freeze enemies for 2 seconds. 25% chance on hit. Has cooldown of 12sec"</f>
        <v>Freeze enemies for 2 seconds. 25% chance on hit. Has cooldown of 12sec</v>
      </c>
      <c r="F72" s="127" t="s">
        <v>285</v>
      </c>
      <c r="G72" s="92"/>
      <c r="H72" s="93"/>
      <c r="I72" s="93"/>
      <c r="J72" s="93"/>
      <c r="K72" s="93"/>
      <c r="L72" s="9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ht="15.75" customHeight="1">
      <c r="A73" s="95" t="s">
        <v>287</v>
      </c>
      <c r="B73" s="98" t="s">
        <v>232</v>
      </c>
      <c r="C73" s="97" t="s">
        <v>288</v>
      </c>
      <c r="D73" s="98"/>
      <c r="E73" s="98"/>
      <c r="F73" s="101"/>
      <c r="G73" s="92"/>
      <c r="H73" s="93"/>
      <c r="I73" s="93"/>
      <c r="J73" s="93"/>
      <c r="K73" s="93"/>
      <c r="L73" s="9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ht="15.75" customHeight="1">
      <c r="A74" s="95" t="s">
        <v>290</v>
      </c>
      <c r="B74" s="98" t="s">
        <v>232</v>
      </c>
      <c r="C74" s="97" t="s">
        <v>292</v>
      </c>
      <c r="D74" s="98"/>
      <c r="E74" s="98"/>
      <c r="F74" s="115"/>
      <c r="G74" s="92"/>
      <c r="H74" s="93"/>
      <c r="I74" s="93"/>
      <c r="J74" s="93"/>
      <c r="K74" s="93"/>
      <c r="L74" s="9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ht="15.75" customHeight="1">
      <c r="A75" s="95" t="s">
        <v>293</v>
      </c>
      <c r="B75" s="110"/>
      <c r="C75" s="97" t="s">
        <v>294</v>
      </c>
      <c r="D75" s="98"/>
      <c r="E75" s="98"/>
      <c r="F75" s="101"/>
      <c r="G75" s="92"/>
      <c r="H75" s="93"/>
      <c r="I75" s="93"/>
      <c r="J75" s="93"/>
      <c r="K75" s="93"/>
      <c r="L75" s="10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ht="15.75" customHeight="1">
      <c r="A76" s="95" t="s">
        <v>295</v>
      </c>
      <c r="B76" s="110"/>
      <c r="C76" s="97" t="s">
        <v>296</v>
      </c>
      <c r="D76" s="98"/>
      <c r="E76" s="98"/>
      <c r="F76" s="101"/>
      <c r="G76" s="92"/>
      <c r="H76" s="93"/>
      <c r="I76" s="93"/>
      <c r="J76" s="93"/>
      <c r="K76" s="93"/>
      <c r="L76" s="9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ht="15.75" customHeight="1">
      <c r="A77" s="95" t="s">
        <v>298</v>
      </c>
      <c r="B77" s="98" t="s">
        <v>232</v>
      </c>
      <c r="C77" s="97" t="s">
        <v>299</v>
      </c>
      <c r="D77" s="98"/>
      <c r="E77" s="98"/>
      <c r="F77" s="101"/>
      <c r="G77" s="92"/>
      <c r="H77" s="93"/>
      <c r="I77" s="93"/>
      <c r="J77" s="93"/>
      <c r="K77" s="93"/>
      <c r="L77" s="9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ht="15.75" customHeight="1">
      <c r="A78" s="95" t="s">
        <v>305</v>
      </c>
      <c r="B78" s="96" t="s">
        <v>187</v>
      </c>
      <c r="C78" s="122" t="s">
        <v>288</v>
      </c>
      <c r="D78" s="96" t="str">
        <f>"+4% Critical Chance | +1.5% Critical Damage | Slows enemies by 2.5% for 0.3s with 2.5% chance on hit"</f>
        <v>+4% Critical Chance | +1.5% Critical Damage | Slows enemies by 2.5% for 0.3s with 2.5% chance on hit</v>
      </c>
      <c r="E78" s="96" t="str">
        <f>"+40% Critical Chance | +15% Critical Damage | Slows enemies by 25% for 3s with 25% chance on hit"</f>
        <v>+40% Critical Chance | +15% Critical Damage | Slows enemies by 25% for 3s with 25% chance on hit</v>
      </c>
      <c r="F78" s="127" t="s">
        <v>308</v>
      </c>
      <c r="G78" s="92"/>
      <c r="H78" s="93"/>
      <c r="I78" s="93"/>
      <c r="J78" s="93"/>
      <c r="K78" s="93"/>
      <c r="L78" s="9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ht="15.75" customHeight="1">
      <c r="A79" s="95" t="s">
        <v>310</v>
      </c>
      <c r="B79" s="96" t="s">
        <v>187</v>
      </c>
      <c r="C79" s="122" t="s">
        <v>311</v>
      </c>
      <c r="D79" s="96" t="str">
        <f>"+0.7% Life Steal"</f>
        <v>+0.7% Life Steal</v>
      </c>
      <c r="E79" s="96" t="str">
        <f>"+7% Life Steal"</f>
        <v>+7% Life Steal</v>
      </c>
      <c r="F79" s="127" t="s">
        <v>312</v>
      </c>
      <c r="G79" s="92"/>
      <c r="H79" s="93"/>
      <c r="I79" s="93"/>
      <c r="J79" s="93"/>
      <c r="K79" s="93"/>
      <c r="L79" s="9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ht="15.75" customHeight="1">
      <c r="A80" s="95" t="s">
        <v>314</v>
      </c>
      <c r="B80" s="98" t="s">
        <v>187</v>
      </c>
      <c r="C80" s="97" t="s">
        <v>315</v>
      </c>
      <c r="D80" s="98" t="str">
        <f>"+2.5% of weapon damage done as smite, 4% chance on hit"</f>
        <v>+2.5% of weapon damage done as smite, 4% chance on hit</v>
      </c>
      <c r="E80" s="98" t="str">
        <f>"+25% of weapon damage done as smite, 40% chance on hit"</f>
        <v>+25% of weapon damage done as smite, 40% chance on hit</v>
      </c>
      <c r="F80" s="115" t="s">
        <v>316</v>
      </c>
      <c r="G80" s="92"/>
      <c r="H80" s="93"/>
      <c r="I80" s="93"/>
      <c r="J80" s="93"/>
      <c r="K80" s="93"/>
      <c r="L80" s="9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ht="15.75" customHeight="1">
      <c r="A81" s="95" t="s">
        <v>318</v>
      </c>
      <c r="B81" s="98" t="s">
        <v>187</v>
      </c>
      <c r="C81" s="97" t="s">
        <v>319</v>
      </c>
      <c r="D81" s="98" t="str">
        <f>"3.5% Chance for 5% weapon damage AOE Explosion | Deals 2% of weapon damage as fire per second for 0.2s (2% chance)"</f>
        <v>3.5% Chance for 5% weapon damage AOE Explosion | Deals 2% of weapon damage as fire per second for 0.2s (2% chance)</v>
      </c>
      <c r="E81" s="98" t="str">
        <f>"35% Chance for 50% weapon damage AOE Explosion | Deals 20% of weapon damage as fire per second for 2s (20% chance)"</f>
        <v>35% Chance for 50% weapon damage AOE Explosion | Deals 20% of weapon damage as fire per second for 2s (20% chance)</v>
      </c>
      <c r="F81" s="101" t="s">
        <v>320</v>
      </c>
      <c r="G81" s="92"/>
      <c r="H81" s="93"/>
      <c r="I81" s="93"/>
      <c r="J81" s="93"/>
      <c r="K81" s="93"/>
      <c r="L81" s="9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ht="15.75" customHeight="1">
      <c r="A82" s="95" t="s">
        <v>321</v>
      </c>
      <c r="B82" s="142"/>
      <c r="C82" s="122" t="s">
        <v>322</v>
      </c>
      <c r="D82" s="96"/>
      <c r="E82" s="96"/>
      <c r="F82" s="101"/>
      <c r="G82" s="116"/>
      <c r="H82" s="93"/>
      <c r="I82" s="93"/>
      <c r="J82" s="93"/>
      <c r="K82" s="93"/>
      <c r="L82" s="9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ht="15.75" customHeight="1">
      <c r="A83" s="95" t="s">
        <v>323</v>
      </c>
      <c r="B83" s="142"/>
      <c r="C83" s="122" t="s">
        <v>324</v>
      </c>
      <c r="D83" s="96"/>
      <c r="E83" s="96"/>
      <c r="F83" s="115"/>
      <c r="G83" s="92"/>
      <c r="H83" s="143"/>
      <c r="I83" s="143"/>
      <c r="J83" s="143"/>
      <c r="K83" s="143"/>
      <c r="L83" s="10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ht="15.75" customHeight="1">
      <c r="A84" s="95" t="s">
        <v>325</v>
      </c>
      <c r="B84" s="142"/>
      <c r="C84" s="122" t="s">
        <v>262</v>
      </c>
      <c r="D84" s="96"/>
      <c r="E84" s="96"/>
      <c r="F84" s="101"/>
      <c r="G84" s="92"/>
      <c r="H84" s="93"/>
      <c r="I84" s="93"/>
      <c r="J84" s="93"/>
      <c r="K84" s="93"/>
      <c r="L84" s="9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ht="15.75" customHeight="1">
      <c r="A85" s="95" t="s">
        <v>326</v>
      </c>
      <c r="B85" s="96" t="s">
        <v>327</v>
      </c>
      <c r="C85" s="122" t="s">
        <v>264</v>
      </c>
      <c r="D85" s="96"/>
      <c r="E85" s="96"/>
      <c r="F85" s="101"/>
      <c r="G85" s="92"/>
      <c r="H85" s="93"/>
      <c r="I85" s="93"/>
      <c r="J85" s="93"/>
      <c r="K85" s="93"/>
      <c r="L85" s="9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ht="15.75" customHeight="1">
      <c r="A86" s="95" t="s">
        <v>328</v>
      </c>
      <c r="B86" s="142"/>
      <c r="C86" s="122" t="s">
        <v>329</v>
      </c>
      <c r="D86" s="96"/>
      <c r="E86" s="96"/>
      <c r="F86" s="101"/>
      <c r="G86" s="92"/>
      <c r="H86" s="143"/>
      <c r="I86" s="143"/>
      <c r="J86" s="143"/>
      <c r="K86" s="143"/>
      <c r="L86" s="10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ht="15.75" customHeight="1">
      <c r="A87" s="95" t="s">
        <v>330</v>
      </c>
      <c r="B87" s="142"/>
      <c r="C87" s="122" t="s">
        <v>331</v>
      </c>
      <c r="D87" s="96"/>
      <c r="E87" s="96"/>
      <c r="F87" s="101"/>
      <c r="G87" s="92"/>
      <c r="H87" s="93"/>
      <c r="I87" s="93"/>
      <c r="J87" s="93"/>
      <c r="K87" s="93"/>
      <c r="L87" s="9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ht="15.75" customHeight="1">
      <c r="A88" s="95" t="s">
        <v>332</v>
      </c>
      <c r="B88" s="142"/>
      <c r="C88" s="122" t="s">
        <v>294</v>
      </c>
      <c r="D88" s="96"/>
      <c r="E88" s="96"/>
      <c r="F88" s="101"/>
      <c r="G88" s="9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ht="15.75" customHeight="1">
      <c r="A89" s="95" t="s">
        <v>333</v>
      </c>
      <c r="B89" s="142"/>
      <c r="C89" s="122" t="s">
        <v>334</v>
      </c>
      <c r="D89" s="96"/>
      <c r="E89" s="96"/>
      <c r="F89" s="115"/>
      <c r="G89" s="9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ht="15.75" customHeight="1">
      <c r="A90" s="95" t="s">
        <v>335</v>
      </c>
      <c r="B90" s="142"/>
      <c r="C90" s="122" t="s">
        <v>336</v>
      </c>
      <c r="D90" s="96"/>
      <c r="E90" s="96"/>
      <c r="F90" s="101"/>
      <c r="G90" s="9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ht="15.75" customHeight="1">
      <c r="A91" s="95" t="s">
        <v>337</v>
      </c>
      <c r="B91" s="142"/>
      <c r="C91" s="122" t="s">
        <v>338</v>
      </c>
      <c r="D91" s="96"/>
      <c r="E91" s="96"/>
      <c r="F91" s="101"/>
      <c r="G91" s="9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ht="15.75" customHeight="1">
      <c r="A92" s="95" t="s">
        <v>339</v>
      </c>
      <c r="B92" s="96" t="s">
        <v>340</v>
      </c>
      <c r="C92" s="122" t="s">
        <v>266</v>
      </c>
      <c r="D92" s="96" t="str">
        <f>"+0.75% Attack Speed | +0.5% Lethality | +0.5% Swiftness | -1% Vitality"</f>
        <v>+0.75% Attack Speed | +0.5% Lethality | +0.5% Swiftness | -1% Vitality</v>
      </c>
      <c r="E92" s="96" t="str">
        <f>"7.5% Attack Speed | +5% Lethality | +5% Swiftness | -10% Vitality"</f>
        <v>7.5% Attack Speed | +5% Lethality | +5% Swiftness | -10% Vitality</v>
      </c>
      <c r="F92" s="101" t="s">
        <v>240</v>
      </c>
      <c r="G92" s="9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ht="15.75" customHeight="1">
      <c r="A93" s="95" t="s">
        <v>341</v>
      </c>
      <c r="B93" s="142"/>
      <c r="C93" s="122" t="s">
        <v>342</v>
      </c>
      <c r="D93" s="96"/>
      <c r="E93" s="96"/>
      <c r="F93" s="101"/>
      <c r="G93" s="9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ht="15.75" customHeight="1">
      <c r="A94" s="95" t="s">
        <v>343</v>
      </c>
      <c r="B94" s="96" t="s">
        <v>327</v>
      </c>
      <c r="C94" s="122" t="s">
        <v>344</v>
      </c>
      <c r="D94" s="96"/>
      <c r="E94" s="96"/>
      <c r="F94" s="101"/>
      <c r="G94" s="9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ht="15.75" customHeight="1">
      <c r="A95" s="95" t="s">
        <v>345</v>
      </c>
      <c r="B95" s="142"/>
      <c r="C95" s="122" t="s">
        <v>346</v>
      </c>
      <c r="D95" s="96"/>
      <c r="E95" s="96"/>
      <c r="F95" s="115"/>
      <c r="G95" s="9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ht="15.75" customHeight="1">
      <c r="A96" s="95" t="s">
        <v>347</v>
      </c>
      <c r="B96" s="96" t="s">
        <v>327</v>
      </c>
      <c r="C96" s="122" t="s">
        <v>348</v>
      </c>
      <c r="D96" s="96"/>
      <c r="E96" s="96"/>
      <c r="F96" s="101"/>
      <c r="G96" s="9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ht="15.75" customHeight="1">
      <c r="A97" s="95" t="s">
        <v>349</v>
      </c>
      <c r="B97" s="142"/>
      <c r="C97" s="122" t="s">
        <v>296</v>
      </c>
      <c r="D97" s="96"/>
      <c r="E97" s="96"/>
      <c r="F97" s="101"/>
      <c r="G97" s="9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ht="15.75" customHeight="1">
      <c r="A98" s="95" t="s">
        <v>350</v>
      </c>
      <c r="B98" s="96" t="s">
        <v>340</v>
      </c>
      <c r="C98" s="122" t="s">
        <v>351</v>
      </c>
      <c r="D98" s="96" t="str">
        <f>"+3% Lethality | -2% Vitality | -1% Stamina | -1.5% Movement Speed | (Armor only) +2% Physical Damage and +2% Movement Speed for 0.6 seconds when HP drops below 35%"</f>
        <v>+3% Lethality | -2% Vitality | -1% Stamina | -1.5% Movement Speed | (Armor only) +2% Physical Damage and +2% Movement Speed for 0.6 seconds when HP drops below 35%</v>
      </c>
      <c r="E98" s="96" t="str">
        <f>"+30% Lethality | -20% Vitality | -10% Stamina | -15% Movement Speed | +20% Physical Damage and +20% Movement Speed for 6 seconds when HP drops below 35%"</f>
        <v>+30% Lethality | -20% Vitality | -10% Stamina | -15% Movement Speed | +20% Physical Damage and +20% Movement Speed for 6 seconds when HP drops below 35%</v>
      </c>
      <c r="F98" s="101" t="s">
        <v>353</v>
      </c>
      <c r="G98" s="9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ht="15.75" customHeight="1">
      <c r="A99" s="95" t="s">
        <v>354</v>
      </c>
      <c r="B99" s="96" t="s">
        <v>327</v>
      </c>
      <c r="C99" s="122" t="s">
        <v>355</v>
      </c>
      <c r="D99" s="96"/>
      <c r="E99" s="96"/>
      <c r="F99" s="101"/>
      <c r="G99" s="9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ht="15.75" customHeight="1">
      <c r="A100" s="95" t="s">
        <v>356</v>
      </c>
      <c r="B100" s="96" t="s">
        <v>327</v>
      </c>
      <c r="C100" s="122" t="s">
        <v>282</v>
      </c>
      <c r="D100" s="96"/>
      <c r="E100" s="96"/>
      <c r="F100" s="101"/>
      <c r="G100" s="9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ht="15.75" customHeight="1">
      <c r="A101" s="95" t="s">
        <v>357</v>
      </c>
      <c r="B101" s="96" t="s">
        <v>340</v>
      </c>
      <c r="C101" s="122" t="s">
        <v>358</v>
      </c>
      <c r="D101" s="96" t="str">
        <f>"+3.5% Critical Chance | +1.75% Critical Damage"</f>
        <v>+3.5% Critical Chance | +1.75% Critical Damage</v>
      </c>
      <c r="E101" s="96" t="str">
        <f>"+35% Critical Chance | +17.5% Critical Damage"</f>
        <v>+35% Critical Chance | +17.5% Critical Damage</v>
      </c>
      <c r="F101" s="115" t="s">
        <v>272</v>
      </c>
      <c r="G101" s="9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ht="15.75" customHeight="1">
      <c r="A102" s="95" t="s">
        <v>359</v>
      </c>
      <c r="B102" s="142"/>
      <c r="C102" s="122" t="s">
        <v>360</v>
      </c>
      <c r="D102" s="96"/>
      <c r="E102" s="96"/>
      <c r="F102" s="101"/>
      <c r="G102" s="9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ht="15.75" customHeight="1">
      <c r="A103" s="95" t="s">
        <v>361</v>
      </c>
      <c r="B103" s="96" t="s">
        <v>327</v>
      </c>
      <c r="C103" s="122" t="s">
        <v>299</v>
      </c>
      <c r="D103" s="96"/>
      <c r="E103" s="96"/>
      <c r="F103" s="101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ht="15.75" customHeight="1">
      <c r="A104" s="95" t="s">
        <v>362</v>
      </c>
      <c r="B104" s="96" t="s">
        <v>340</v>
      </c>
      <c r="C104" s="122" t="s">
        <v>363</v>
      </c>
      <c r="D104" s="96" t="str">
        <f>"Deals 3.5% of weapon damage as fire per second for 0.5s (3.5% chance)"</f>
        <v>Deals 3.5% of weapon damage as fire per second for 0.5s (3.5% chance)</v>
      </c>
      <c r="E104" s="96" t="str">
        <f>"Deals 35% of weapon damage as fire per second for 5s (35% chance)"</f>
        <v>Deals 35% of weapon damage as fire per second for 5s (35% chance)</v>
      </c>
      <c r="F104" s="101" t="s">
        <v>364</v>
      </c>
      <c r="G104" s="9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ht="15.75" customHeight="1">
      <c r="A105" s="95" t="s">
        <v>365</v>
      </c>
      <c r="B105" s="142"/>
      <c r="C105" s="122" t="s">
        <v>366</v>
      </c>
      <c r="D105" s="96"/>
      <c r="E105" s="96"/>
      <c r="F105" s="101"/>
      <c r="G105" s="9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ht="15.75" customHeight="1">
      <c r="A106" s="95" t="s">
        <v>367</v>
      </c>
      <c r="B106" s="142"/>
      <c r="C106" s="122" t="s">
        <v>368</v>
      </c>
      <c r="D106" s="96"/>
      <c r="E106" s="96"/>
      <c r="F106" s="101"/>
      <c r="G106" s="9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ht="15.75" customHeight="1">
      <c r="A107" s="95" t="s">
        <v>369</v>
      </c>
      <c r="B107" s="96" t="s">
        <v>340</v>
      </c>
      <c r="C107" s="122" t="s">
        <v>370</v>
      </c>
      <c r="D107" s="96" t="str">
        <f>"2.5% Chance for 6% weapon damage AOE Explosion"</f>
        <v>2.5% Chance for 6% weapon damage AOE Explosion</v>
      </c>
      <c r="E107" s="96" t="str">
        <f>"25% Chance for 60% weapon damage AOE Explosion"</f>
        <v>25% Chance for 60% weapon damage AOE Explosion</v>
      </c>
      <c r="F107" s="101" t="s">
        <v>371</v>
      </c>
      <c r="G107" s="9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ht="15.75" customHeight="1">
      <c r="A108" s="95" t="s">
        <v>372</v>
      </c>
      <c r="B108" s="96" t="s">
        <v>327</v>
      </c>
      <c r="C108" s="122" t="s">
        <v>373</v>
      </c>
      <c r="D108" s="96"/>
      <c r="E108" s="96"/>
      <c r="F108" s="101"/>
      <c r="G108" s="9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ht="15.75" customHeight="1">
      <c r="A109" s="95" t="s">
        <v>374</v>
      </c>
      <c r="B109" s="96" t="s">
        <v>340</v>
      </c>
      <c r="C109" s="122" t="s">
        <v>375</v>
      </c>
      <c r="D109" s="96" t="str">
        <f>"+4% Critical Chance | +1.8% Critical Damage | Deals 4.5% of weapon damage as fire per second for 0.5s (4% chance)"</f>
        <v>+4% Critical Chance | +1.8% Critical Damage | Deals 4.5% of weapon damage as fire per second for 0.5s (4% chance)</v>
      </c>
      <c r="E109" s="96" t="str">
        <f>"+40% Critical Chance | +18% Critical Damage | Deals 45% of weapon damage as fire per second for 5s (40% chance)"</f>
        <v>+40% Critical Chance | +18% Critical Damage | Deals 45% of weapon damage as fire per second for 5s (40% chance)</v>
      </c>
      <c r="F109" s="101" t="s">
        <v>376</v>
      </c>
      <c r="G109" s="9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ht="15.75" customHeight="1">
      <c r="A110" s="146" t="s">
        <v>377</v>
      </c>
      <c r="B110" s="106"/>
      <c r="C110" s="147" t="s">
        <v>378</v>
      </c>
      <c r="D110" s="106"/>
      <c r="E110" s="106"/>
      <c r="F110" s="148"/>
      <c r="G110" s="9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ht="15.75" customHeight="1">
      <c r="A111" s="146" t="s">
        <v>379</v>
      </c>
      <c r="B111" s="106"/>
      <c r="C111" s="147" t="s">
        <v>380</v>
      </c>
      <c r="D111" s="106"/>
      <c r="E111" s="106"/>
      <c r="F111" s="148"/>
      <c r="G111" s="9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ht="15.75" customHeight="1">
      <c r="A112" s="146" t="s">
        <v>381</v>
      </c>
      <c r="B112" s="106"/>
      <c r="C112" s="147" t="s">
        <v>382</v>
      </c>
      <c r="D112" s="106"/>
      <c r="E112" s="106"/>
      <c r="F112" s="148"/>
      <c r="G112" s="9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ht="15.75" customHeight="1">
      <c r="A113" s="146" t="s">
        <v>383</v>
      </c>
      <c r="B113" s="106"/>
      <c r="C113" s="147" t="s">
        <v>384</v>
      </c>
      <c r="D113" s="106"/>
      <c r="E113" s="106"/>
      <c r="F113" s="148"/>
      <c r="G113" s="9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ht="15.75" customHeight="1">
      <c r="A114" s="146" t="s">
        <v>385</v>
      </c>
      <c r="B114" s="106"/>
      <c r="C114" s="147" t="s">
        <v>386</v>
      </c>
      <c r="D114" s="106"/>
      <c r="E114" s="106"/>
      <c r="F114" s="148"/>
      <c r="G114" s="9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ht="15.75" customHeight="1">
      <c r="A115" s="146" t="s">
        <v>387</v>
      </c>
      <c r="B115" s="106"/>
      <c r="C115" s="147" t="s">
        <v>388</v>
      </c>
      <c r="D115" s="106"/>
      <c r="E115" s="106"/>
      <c r="F115" s="148"/>
      <c r="G115" s="9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ht="15.75" customHeight="1">
      <c r="A116" s="146" t="s">
        <v>389</v>
      </c>
      <c r="B116" s="106"/>
      <c r="C116" s="147" t="s">
        <v>390</v>
      </c>
      <c r="D116" s="106"/>
      <c r="E116" s="106"/>
      <c r="F116" s="148"/>
      <c r="G116" s="9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ht="15.75" customHeight="1">
      <c r="A117" s="146" t="s">
        <v>391</v>
      </c>
      <c r="B117" s="106"/>
      <c r="C117" s="147" t="s">
        <v>392</v>
      </c>
      <c r="D117" s="106"/>
      <c r="E117" s="106"/>
      <c r="F117" s="148"/>
      <c r="G117" s="9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ht="15.75" customHeight="1">
      <c r="A118" s="146" t="s">
        <v>393</v>
      </c>
      <c r="B118" s="106"/>
      <c r="C118" s="147" t="s">
        <v>392</v>
      </c>
      <c r="D118" s="106"/>
      <c r="E118" s="106"/>
      <c r="F118" s="148"/>
      <c r="G118" s="9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ht="15.75" customHeight="1">
      <c r="A119" s="146" t="s">
        <v>394</v>
      </c>
      <c r="B119" s="106"/>
      <c r="C119" s="147" t="s">
        <v>395</v>
      </c>
      <c r="D119" s="106"/>
      <c r="E119" s="106"/>
      <c r="F119" s="148"/>
      <c r="G119" s="9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ht="15.75" customHeight="1">
      <c r="A120" s="146" t="s">
        <v>396</v>
      </c>
      <c r="B120" s="106"/>
      <c r="C120" s="147" t="s">
        <v>397</v>
      </c>
      <c r="D120" s="106"/>
      <c r="E120" s="106"/>
      <c r="F120" s="148"/>
      <c r="G120" s="9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ht="15.75" customHeight="1">
      <c r="A121" s="146" t="s">
        <v>398</v>
      </c>
      <c r="B121" s="106"/>
      <c r="C121" s="147" t="s">
        <v>256</v>
      </c>
      <c r="D121" s="106"/>
      <c r="E121" s="106"/>
      <c r="F121" s="148"/>
      <c r="G121" s="9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ht="15.75" customHeight="1">
      <c r="A122" s="146" t="s">
        <v>399</v>
      </c>
      <c r="B122" s="106" t="s">
        <v>327</v>
      </c>
      <c r="C122" s="147" t="s">
        <v>400</v>
      </c>
      <c r="D122" s="106"/>
      <c r="E122" s="106"/>
      <c r="F122" s="148"/>
      <c r="G122" s="9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ht="15.75" customHeight="1">
      <c r="A123" s="146" t="s">
        <v>401</v>
      </c>
      <c r="B123" s="106"/>
      <c r="C123" s="147" t="s">
        <v>229</v>
      </c>
      <c r="D123" s="106"/>
      <c r="E123" s="106"/>
      <c r="F123" s="148"/>
      <c r="G123" s="9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ht="15.75" customHeight="1">
      <c r="A124" s="146" t="s">
        <v>402</v>
      </c>
      <c r="B124" s="23"/>
      <c r="C124" s="51" t="s">
        <v>256</v>
      </c>
      <c r="D124" s="23"/>
      <c r="E124" s="23"/>
      <c r="F124" s="150"/>
      <c r="G124" s="9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ht="15.75" customHeight="1">
      <c r="A125" s="146" t="s">
        <v>404</v>
      </c>
      <c r="B125" s="23"/>
      <c r="C125" s="51" t="s">
        <v>405</v>
      </c>
      <c r="D125" s="23"/>
      <c r="E125" s="23"/>
      <c r="F125" s="150"/>
      <c r="G125" s="9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ht="15.75" customHeight="1">
      <c r="A126" s="146" t="s">
        <v>406</v>
      </c>
      <c r="B126" s="23"/>
      <c r="C126" s="51" t="s">
        <v>407</v>
      </c>
      <c r="D126" s="23"/>
      <c r="E126" s="23"/>
      <c r="F126" s="150"/>
      <c r="G126" s="9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ht="15.75" customHeight="1">
      <c r="A127" s="146" t="s">
        <v>408</v>
      </c>
      <c r="B127" s="23"/>
      <c r="C127" s="51" t="s">
        <v>409</v>
      </c>
      <c r="D127" s="23"/>
      <c r="E127" s="23"/>
      <c r="F127" s="150"/>
      <c r="G127" s="9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ht="15.75" customHeight="1">
      <c r="A128" s="146" t="s">
        <v>410</v>
      </c>
      <c r="B128" s="23"/>
      <c r="C128" s="51" t="s">
        <v>411</v>
      </c>
      <c r="D128" s="23"/>
      <c r="E128" s="23"/>
      <c r="F128" s="150"/>
      <c r="G128" s="9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ht="15.75" customHeight="1">
      <c r="A129" s="146" t="s">
        <v>412</v>
      </c>
      <c r="B129" s="23"/>
      <c r="C129" s="51" t="s">
        <v>413</v>
      </c>
      <c r="D129" s="23"/>
      <c r="E129" s="23"/>
      <c r="F129" s="150"/>
      <c r="G129" s="9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ht="15.75" customHeight="1">
      <c r="A130" s="146" t="s">
        <v>414</v>
      </c>
      <c r="B130" s="23"/>
      <c r="C130" s="51" t="s">
        <v>415</v>
      </c>
      <c r="D130" s="23"/>
      <c r="E130" s="23"/>
      <c r="F130" s="150"/>
      <c r="G130" s="9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ht="15.75" customHeight="1">
      <c r="A131" s="146" t="s">
        <v>416</v>
      </c>
      <c r="B131" s="23"/>
      <c r="C131" s="51" t="s">
        <v>417</v>
      </c>
      <c r="D131" s="23"/>
      <c r="E131" s="23"/>
      <c r="F131" s="150"/>
      <c r="G131" s="9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ht="15.75" customHeight="1">
      <c r="A132" s="146" t="s">
        <v>418</v>
      </c>
      <c r="B132" s="23"/>
      <c r="C132" s="51" t="s">
        <v>419</v>
      </c>
      <c r="D132" s="23"/>
      <c r="E132" s="23"/>
      <c r="F132" s="150"/>
      <c r="G132" s="9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ht="15.75" customHeight="1">
      <c r="A133" s="146" t="s">
        <v>420</v>
      </c>
      <c r="B133" s="23"/>
      <c r="C133" s="51" t="s">
        <v>421</v>
      </c>
      <c r="D133" s="23"/>
      <c r="E133" s="23"/>
      <c r="F133" s="150"/>
      <c r="G133" s="9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ht="15.75" customHeight="1">
      <c r="A134" s="146" t="s">
        <v>422</v>
      </c>
      <c r="B134" s="23" t="s">
        <v>327</v>
      </c>
      <c r="C134" s="51" t="s">
        <v>423</v>
      </c>
      <c r="D134" s="23"/>
      <c r="E134" s="23"/>
      <c r="F134" s="150"/>
      <c r="G134" s="9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ht="15.75" customHeight="1">
      <c r="A135" s="146" t="s">
        <v>424</v>
      </c>
      <c r="B135" s="23"/>
      <c r="C135" s="51" t="s">
        <v>237</v>
      </c>
      <c r="D135" s="23"/>
      <c r="E135" s="23"/>
      <c r="F135" s="150"/>
      <c r="G135" s="9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ht="15.75" customHeight="1">
      <c r="A136" s="146" t="s">
        <v>425</v>
      </c>
      <c r="B136" s="23"/>
      <c r="C136" s="51" t="s">
        <v>426</v>
      </c>
      <c r="D136" s="23"/>
      <c r="E136" s="23"/>
      <c r="F136" s="150"/>
      <c r="G136" s="9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ht="15.75" customHeight="1">
      <c r="A137" s="146" t="s">
        <v>427</v>
      </c>
      <c r="B137" s="23" t="s">
        <v>340</v>
      </c>
      <c r="C137" s="51" t="s">
        <v>428</v>
      </c>
      <c r="D137" s="23" t="str">
        <f>"+2% Critical Chance"</f>
        <v>+2% Critical Chance</v>
      </c>
      <c r="E137" s="23" t="str">
        <f>"+20% Crit chance"</f>
        <v>+20% Crit chance</v>
      </c>
      <c r="F137" s="150"/>
      <c r="G137" s="9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ht="15.75" customHeight="1">
      <c r="A138" s="146" t="s">
        <v>429</v>
      </c>
      <c r="B138" s="23" t="s">
        <v>327</v>
      </c>
      <c r="C138" s="51" t="s">
        <v>430</v>
      </c>
      <c r="D138" s="23"/>
      <c r="E138" s="23"/>
      <c r="F138" s="150"/>
      <c r="G138" s="9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ht="15.75" customHeight="1">
      <c r="A139" s="146" t="s">
        <v>431</v>
      </c>
      <c r="B139" s="23" t="s">
        <v>327</v>
      </c>
      <c r="C139" s="51" t="s">
        <v>432</v>
      </c>
      <c r="D139" s="23"/>
      <c r="E139" s="23"/>
      <c r="F139" s="150"/>
      <c r="G139" s="9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ht="15.75" customHeight="1">
      <c r="A140" s="146" t="s">
        <v>433</v>
      </c>
      <c r="B140" s="152" t="s">
        <v>340</v>
      </c>
      <c r="C140" s="51" t="s">
        <v>322</v>
      </c>
      <c r="D140" s="23" t="str">
        <f>"+1.5% Lethality"</f>
        <v>+1.5% Lethality</v>
      </c>
      <c r="E140" s="23" t="str">
        <f>"+15% Lethality"</f>
        <v>+15% Lethality</v>
      </c>
      <c r="F140" s="150"/>
      <c r="G140" s="92"/>
      <c r="H140" s="1"/>
      <c r="I140" s="1"/>
      <c r="J140" s="1"/>
      <c r="K140" s="1"/>
      <c r="L140" s="15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ht="15.75" customHeight="1">
      <c r="A141" s="146" t="s">
        <v>434</v>
      </c>
      <c r="B141" s="23" t="s">
        <v>340</v>
      </c>
      <c r="C141" s="51" t="s">
        <v>435</v>
      </c>
      <c r="D141" s="23" t="str">
        <f>"3% chance to burn for 2% weapon damage per second for 0.2 seconds on attack"</f>
        <v>3% chance to burn for 2% weapon damage per second for 0.2 seconds on attack</v>
      </c>
      <c r="E141" s="23" t="str">
        <f>"30% chance to burn for 20% weapon damage per second for 2 seconds on attack"</f>
        <v>30% chance to burn for 20% weapon damage per second for 2 seconds on attack</v>
      </c>
      <c r="F141" s="150" t="s">
        <v>436</v>
      </c>
      <c r="G141" s="92"/>
      <c r="H141" s="1"/>
      <c r="I141" s="1"/>
      <c r="J141" s="1"/>
      <c r="K141" s="1"/>
      <c r="L141" s="15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ht="15.75" customHeight="1">
      <c r="A142" s="146" t="s">
        <v>437</v>
      </c>
      <c r="B142" s="23" t="s">
        <v>340</v>
      </c>
      <c r="C142" s="51" t="s">
        <v>264</v>
      </c>
      <c r="D142" s="23" t="str">
        <f>"+3.5% AOE Explosion on Weapons with 2% chance"</f>
        <v>+3.5% AOE Explosion on Weapons with 2% chance</v>
      </c>
      <c r="E142" s="23" t="str">
        <f>"+35% AOE Explosion on Weapons with 20% chance"</f>
        <v>+35% AOE Explosion on Weapons with 20% chance</v>
      </c>
      <c r="F142" s="150" t="s">
        <v>438</v>
      </c>
      <c r="G142" s="9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ht="15.75" customHeight="1">
      <c r="A143" s="146" t="s">
        <v>439</v>
      </c>
      <c r="B143" s="23" t="s">
        <v>327</v>
      </c>
      <c r="C143" s="51" t="s">
        <v>440</v>
      </c>
      <c r="D143" s="23"/>
      <c r="E143" s="23"/>
      <c r="F143" s="150"/>
      <c r="G143" s="9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ht="15.75" customHeight="1">
      <c r="A144" s="146" t="s">
        <v>441</v>
      </c>
      <c r="B144" s="23" t="s">
        <v>327</v>
      </c>
      <c r="C144" s="51" t="s">
        <v>331</v>
      </c>
      <c r="D144" s="23"/>
      <c r="E144" s="23"/>
      <c r="F144" s="150"/>
      <c r="G144" s="9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ht="15.75" customHeight="1">
      <c r="A145" s="146" t="s">
        <v>442</v>
      </c>
      <c r="B145" s="23" t="s">
        <v>327</v>
      </c>
      <c r="C145" s="51" t="s">
        <v>443</v>
      </c>
      <c r="D145" s="23"/>
      <c r="E145" s="23"/>
      <c r="F145" s="150"/>
      <c r="G145" s="9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ht="15.75" customHeight="1">
      <c r="A146" s="146" t="s">
        <v>444</v>
      </c>
      <c r="B146" s="23"/>
      <c r="C146" s="51" t="s">
        <v>400</v>
      </c>
      <c r="D146" s="23"/>
      <c r="E146" s="23"/>
      <c r="F146" s="150"/>
      <c r="G146" s="9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ht="15.75" customHeight="1">
      <c r="A147" s="146" t="s">
        <v>445</v>
      </c>
      <c r="B147" s="23"/>
      <c r="C147" s="51" t="s">
        <v>419</v>
      </c>
      <c r="D147" s="23"/>
      <c r="E147" s="23"/>
      <c r="F147" s="150"/>
      <c r="G147" s="9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ht="15.75" customHeight="1">
      <c r="A148" s="146" t="s">
        <v>446</v>
      </c>
      <c r="B148" s="23"/>
      <c r="C148" s="51" t="s">
        <v>419</v>
      </c>
      <c r="D148" s="23"/>
      <c r="E148" s="23"/>
      <c r="F148" s="150"/>
      <c r="G148" s="9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ht="15.75" customHeight="1">
      <c r="A149" s="146" t="s">
        <v>447</v>
      </c>
      <c r="B149" s="23"/>
      <c r="C149" s="51" t="s">
        <v>448</v>
      </c>
      <c r="D149" s="23"/>
      <c r="E149" s="23"/>
      <c r="F149" s="150"/>
      <c r="G149" s="9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ht="15.75" customHeight="1">
      <c r="A150" s="146" t="s">
        <v>449</v>
      </c>
      <c r="B150" s="23"/>
      <c r="C150" s="51" t="s">
        <v>450</v>
      </c>
      <c r="D150" s="23"/>
      <c r="E150" s="23"/>
      <c r="F150" s="150"/>
      <c r="G150" s="9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ht="15.75" customHeight="1">
      <c r="A151" s="146" t="s">
        <v>451</v>
      </c>
      <c r="B151" s="23"/>
      <c r="C151" s="51" t="s">
        <v>430</v>
      </c>
      <c r="D151" s="23"/>
      <c r="E151" s="23"/>
      <c r="F151" s="150"/>
      <c r="G151" s="9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ht="15.75" customHeight="1">
      <c r="A152" s="146" t="s">
        <v>452</v>
      </c>
      <c r="B152" s="23"/>
      <c r="C152" s="51" t="s">
        <v>453</v>
      </c>
      <c r="D152" s="23"/>
      <c r="E152" s="23"/>
      <c r="F152" s="150"/>
      <c r="G152" s="9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ht="15.75" customHeight="1">
      <c r="A153" s="146" t="s">
        <v>454</v>
      </c>
      <c r="B153" s="23"/>
      <c r="C153" s="51" t="s">
        <v>455</v>
      </c>
      <c r="D153" s="23"/>
      <c r="E153" s="23"/>
      <c r="F153" s="150"/>
      <c r="G153" s="9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ht="15.75" customHeight="1">
      <c r="A154" s="146" t="s">
        <v>456</v>
      </c>
      <c r="B154" s="23"/>
      <c r="C154" s="51" t="s">
        <v>458</v>
      </c>
      <c r="D154" s="23"/>
      <c r="E154" s="23"/>
      <c r="F154" s="150"/>
      <c r="G154" s="9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ht="15.75" customHeight="1">
      <c r="A155" s="146" t="s">
        <v>459</v>
      </c>
      <c r="B155" s="23"/>
      <c r="C155" s="51" t="s">
        <v>252</v>
      </c>
      <c r="D155" s="23"/>
      <c r="E155" s="23"/>
      <c r="F155" s="150"/>
      <c r="G155" s="9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ht="15.75" customHeight="1">
      <c r="A156" s="146" t="s">
        <v>460</v>
      </c>
      <c r="B156" s="23"/>
      <c r="C156" s="51" t="s">
        <v>461</v>
      </c>
      <c r="D156" s="23"/>
      <c r="E156" s="23"/>
      <c r="F156" s="150"/>
      <c r="G156" s="9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ht="15.75" customHeight="1">
      <c r="A157" s="146" t="s">
        <v>462</v>
      </c>
      <c r="B157" s="23"/>
      <c r="C157" s="51" t="s">
        <v>463</v>
      </c>
      <c r="D157" s="23"/>
      <c r="E157" s="23"/>
      <c r="F157" s="150"/>
      <c r="G157" s="9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ht="15.75" customHeight="1">
      <c r="A158" s="146" t="s">
        <v>464</v>
      </c>
      <c r="B158" s="23"/>
      <c r="C158" s="51" t="s">
        <v>465</v>
      </c>
      <c r="D158" s="23"/>
      <c r="E158" s="23"/>
      <c r="F158" s="150"/>
      <c r="G158" s="9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ht="15.75" customHeight="1">
      <c r="A159" s="146" t="s">
        <v>466</v>
      </c>
      <c r="B159" s="23"/>
      <c r="C159" s="51" t="s">
        <v>467</v>
      </c>
      <c r="D159" s="23"/>
      <c r="E159" s="23"/>
      <c r="F159" s="150"/>
      <c r="G159" s="9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ht="15.75" customHeight="1">
      <c r="A160" s="146" t="s">
        <v>468</v>
      </c>
      <c r="B160" s="23"/>
      <c r="C160" s="51" t="s">
        <v>469</v>
      </c>
      <c r="D160" s="23"/>
      <c r="E160" s="23"/>
      <c r="F160" s="150"/>
      <c r="G160" s="9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ht="15.75" customHeight="1">
      <c r="A161" s="146" t="s">
        <v>470</v>
      </c>
      <c r="B161" s="23"/>
      <c r="C161" s="51" t="s">
        <v>450</v>
      </c>
      <c r="D161" s="23"/>
      <c r="E161" s="23"/>
      <c r="F161" s="150"/>
      <c r="G161" s="9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ht="15.75" customHeight="1">
      <c r="A162" s="146" t="s">
        <v>471</v>
      </c>
      <c r="B162" s="23"/>
      <c r="C162" s="51" t="s">
        <v>448</v>
      </c>
      <c r="D162" s="23"/>
      <c r="E162" s="23"/>
      <c r="F162" s="150"/>
      <c r="G162" s="9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ht="15.75" customHeight="1">
      <c r="A163" s="146" t="s">
        <v>472</v>
      </c>
      <c r="B163" s="23"/>
      <c r="C163" s="51" t="s">
        <v>432</v>
      </c>
      <c r="D163" s="23"/>
      <c r="E163" s="23"/>
      <c r="F163" s="150"/>
      <c r="G163" s="9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ht="15.75" customHeight="1">
      <c r="A164" s="146" t="s">
        <v>473</v>
      </c>
      <c r="B164" s="23"/>
      <c r="C164" s="51" t="s">
        <v>474</v>
      </c>
      <c r="D164" s="23"/>
      <c r="E164" s="23"/>
      <c r="F164" s="150"/>
      <c r="G164" s="9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ht="15.75" customHeight="1">
      <c r="A165" s="146" t="s">
        <v>475</v>
      </c>
      <c r="B165" s="23"/>
      <c r="C165" s="51" t="s">
        <v>476</v>
      </c>
      <c r="D165" s="23"/>
      <c r="E165" s="23"/>
      <c r="F165" s="150"/>
      <c r="G165" s="9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ht="15.75" customHeight="1">
      <c r="A166" s="146" t="s">
        <v>477</v>
      </c>
      <c r="B166" s="23"/>
      <c r="C166" s="51" t="s">
        <v>266</v>
      </c>
      <c r="D166" s="23"/>
      <c r="E166" s="23"/>
      <c r="F166" s="150"/>
      <c r="G166" s="9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ht="15.75" customHeight="1">
      <c r="A167" s="146" t="s">
        <v>478</v>
      </c>
      <c r="B167" s="23"/>
      <c r="C167" s="51" t="s">
        <v>250</v>
      </c>
      <c r="D167" s="23"/>
      <c r="E167" s="23"/>
      <c r="F167" s="150"/>
      <c r="G167" s="9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ht="15.75" customHeight="1">
      <c r="A168" s="146" t="s">
        <v>480</v>
      </c>
      <c r="B168" s="23"/>
      <c r="C168" s="51" t="s">
        <v>481</v>
      </c>
      <c r="D168" s="23"/>
      <c r="E168" s="23"/>
      <c r="F168" s="150"/>
      <c r="G168" s="9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ht="15.75" customHeight="1">
      <c r="A169" s="146" t="s">
        <v>482</v>
      </c>
      <c r="B169" s="23"/>
      <c r="C169" s="51" t="s">
        <v>483</v>
      </c>
      <c r="D169" s="23"/>
      <c r="E169" s="23"/>
      <c r="F169" s="150"/>
      <c r="G169" s="9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ht="15.75" customHeight="1">
      <c r="A170" s="146" t="s">
        <v>485</v>
      </c>
      <c r="B170" s="23"/>
      <c r="C170" s="51" t="s">
        <v>269</v>
      </c>
      <c r="D170" s="23"/>
      <c r="E170" s="23"/>
      <c r="F170" s="150"/>
      <c r="G170" s="9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ht="15.75" customHeight="1">
      <c r="A171" s="160" t="s">
        <v>487</v>
      </c>
      <c r="B171" s="161"/>
      <c r="C171" s="162" t="s">
        <v>311</v>
      </c>
      <c r="D171" s="161"/>
      <c r="E171" s="161"/>
      <c r="F171" s="161"/>
      <c r="G171" s="92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</row>
    <row r="172" ht="15.75" customHeight="1">
      <c r="A172" s="160" t="s">
        <v>488</v>
      </c>
      <c r="B172" s="161"/>
      <c r="C172" s="162" t="s">
        <v>299</v>
      </c>
      <c r="D172" s="161"/>
      <c r="E172" s="161"/>
      <c r="F172" s="161"/>
      <c r="G172" s="9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ht="15.75" customHeight="1">
      <c r="A173" s="164" t="s">
        <v>489</v>
      </c>
      <c r="B173" s="161"/>
      <c r="C173" s="165" t="s">
        <v>490</v>
      </c>
      <c r="D173" s="161"/>
      <c r="E173" s="161"/>
      <c r="F173" s="161"/>
      <c r="G173" s="9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ht="15.75" customHeight="1">
      <c r="A174" s="164" t="s">
        <v>491</v>
      </c>
      <c r="B174" s="167" t="s">
        <v>327</v>
      </c>
      <c r="C174" s="165" t="s">
        <v>299</v>
      </c>
      <c r="D174" s="168" t="str">
        <f>"+0.8% Vitality | +2.5% Physical Damage and +2.5% Movement Speed for 0.8 seconds when HP drops below 35%"</f>
        <v>+0.8% Vitality | +2.5% Physical Damage and +2.5% Movement Speed for 0.8 seconds when HP drops below 35%</v>
      </c>
      <c r="E174" s="168" t="str">
        <f>"+8% Vitality | +25% Physical Damage and +25% Movement Speed for 8 seconds when HP drops below 35%"</f>
        <v>+8% Vitality | +25% Physical Damage and +25% Movement Speed for 8 seconds when HP drops below 35%</v>
      </c>
      <c r="F174" s="168" t="s">
        <v>493</v>
      </c>
      <c r="G174" s="9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ht="15.75" customHeight="1">
      <c r="A175" s="164" t="s">
        <v>494</v>
      </c>
      <c r="B175" s="167" t="s">
        <v>187</v>
      </c>
      <c r="C175" s="165" t="s">
        <v>299</v>
      </c>
      <c r="D175" s="168" t="str">
        <f>"+4% Critical Chance | +1.8% Critical Damage"</f>
        <v>+4% Critical Chance | +1.8% Critical Damage</v>
      </c>
      <c r="E175" s="168" t="str">
        <f>"+40% Critical Chance | +18% Critical Damage"</f>
        <v>+40% Critical Chance | +18% Critical Damage</v>
      </c>
      <c r="F175" s="168" t="s">
        <v>495</v>
      </c>
      <c r="G175" s="9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ht="15.75" customHeight="1">
      <c r="A176" s="164" t="s">
        <v>109</v>
      </c>
      <c r="B176" s="161"/>
      <c r="C176" s="165" t="s">
        <v>497</v>
      </c>
      <c r="D176" s="161"/>
      <c r="E176" s="161"/>
      <c r="F176" s="161"/>
      <c r="G176" s="9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ht="15.75" customHeight="1">
      <c r="A177" s="164" t="s">
        <v>498</v>
      </c>
      <c r="B177" s="161"/>
      <c r="C177" s="165" t="s">
        <v>499</v>
      </c>
      <c r="D177" s="161"/>
      <c r="E177" s="161"/>
      <c r="F177" s="161"/>
      <c r="G177" s="9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ht="15.75" customHeight="1">
      <c r="A178" s="164" t="s">
        <v>501</v>
      </c>
      <c r="B178" s="161"/>
      <c r="C178" s="165" t="s">
        <v>502</v>
      </c>
      <c r="D178" s="161"/>
      <c r="E178" s="161"/>
      <c r="F178" s="161"/>
      <c r="G178" s="9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ht="15.75" customHeight="1">
      <c r="A179" s="164" t="s">
        <v>503</v>
      </c>
      <c r="B179" s="161"/>
      <c r="C179" s="165" t="s">
        <v>504</v>
      </c>
      <c r="D179" s="161"/>
      <c r="E179" s="161"/>
      <c r="F179" s="161"/>
      <c r="G179" s="9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ht="15.75" customHeight="1">
      <c r="A180" s="164" t="s">
        <v>505</v>
      </c>
      <c r="B180" s="175" t="s">
        <v>340</v>
      </c>
      <c r="C180" s="165" t="s">
        <v>506</v>
      </c>
      <c r="D180" s="168" t="str">
        <f>"Both: +3% Lethality | -0.5% Vitality | -0.5% Endurance | -0.5% Swiftness
Armor only: +2.5% Physical Damage and +2.5% Movement Speed for 0.8 seconds when HP drops below 35%"</f>
        <v>Both: +3% Lethality | -0.5% Vitality | -0.5% Endurance | -0.5% Swiftness
Armor only: +2.5% Physical Damage and +2.5% Movement Speed for 0.8 seconds when HP drops below 35%</v>
      </c>
      <c r="E180" s="168" t="str">
        <f>"Both: +30% Lethality | -5% Vitality | -5% Endurance | -5% Swiftness
Armor only: +25% Physical Damage and +25% Movement Speed for 8 seconds when HP drops below 35%"</f>
        <v>Both: +30% Lethality | -5% Vitality | -5% Endurance | -5% Swiftness
Armor only: +25% Physical Damage and +25% Movement Speed for 8 seconds when HP drops below 35%</v>
      </c>
      <c r="F180" s="168" t="s">
        <v>507</v>
      </c>
      <c r="G180" s="9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ht="15.75" customHeight="1">
      <c r="A181" s="164" t="s">
        <v>508</v>
      </c>
      <c r="B181" s="167" t="s">
        <v>327</v>
      </c>
      <c r="C181" s="165" t="s">
        <v>509</v>
      </c>
      <c r="D181" s="168" t="str">
        <f>"-1% Swiftness | +1.5% Vitality | +0.5 Health Regeneration | +7% chance to reduce incoming damage by 2.5%"</f>
        <v>-1% Swiftness | +1.5% Vitality | +0.5 Health Regeneration | +7% chance to reduce incoming damage by 2.5%</v>
      </c>
      <c r="E181" s="168" t="str">
        <f>"-10% Swiftness | +15% Vitality | +5 Health Regeneration | +70% chance to reduce incoming damage by 25%"</f>
        <v>-10% Swiftness | +15% Vitality | +5 Health Regeneration | +70% chance to reduce incoming damage by 25%</v>
      </c>
      <c r="F181" s="168" t="s">
        <v>510</v>
      </c>
      <c r="G181" s="9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ht="15.75" customHeight="1">
      <c r="A182" s="164" t="s">
        <v>511</v>
      </c>
      <c r="B182" s="161"/>
      <c r="C182" s="165" t="s">
        <v>366</v>
      </c>
      <c r="D182" s="161"/>
      <c r="E182" s="161"/>
      <c r="F182" s="161"/>
      <c r="G182" s="9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ht="15.75" customHeight="1">
      <c r="A183" s="164" t="s">
        <v>512</v>
      </c>
      <c r="B183" s="167" t="s">
        <v>327</v>
      </c>
      <c r="C183" s="165" t="s">
        <v>322</v>
      </c>
      <c r="D183" s="168" t="str">
        <f>"+0.4% Luck | +0.6% Yield Chance"</f>
        <v>+0.4% Luck | +0.6% Yield Chance</v>
      </c>
      <c r="E183" s="168" t="str">
        <f>"+4% Luck | +6% Yield Chance"</f>
        <v>+4% Luck | +6% Yield Chance</v>
      </c>
      <c r="F183" s="168" t="s">
        <v>513</v>
      </c>
      <c r="G183" s="9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ht="15.75" customHeight="1">
      <c r="A184" s="164" t="s">
        <v>514</v>
      </c>
      <c r="B184" s="167" t="s">
        <v>327</v>
      </c>
      <c r="C184" s="165" t="s">
        <v>515</v>
      </c>
      <c r="D184" s="168" t="str">
        <f>"+0.6% Jump Boost | +1.2% Dash Distance | +1% longer Dash Invincibility duration| +1.5% Dash cooldown reduction"</f>
        <v>+0.6% Jump Boost | +1.2% Dash Distance | +1% longer Dash Invincibility duration| +1.5% Dash cooldown reduction</v>
      </c>
      <c r="E184" s="168" t="str">
        <f>"+6% Jump Boost | +12% Dash Distance | +10% longer Dash Invincibility duration| +15% Dash cooldown reduction"</f>
        <v>+6% Jump Boost | +12% Dash Distance | +10% longer Dash Invincibility duration| +15% Dash cooldown reduction</v>
      </c>
      <c r="F184" s="168" t="s">
        <v>516</v>
      </c>
      <c r="G184" s="9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ht="15.75" customHeight="1">
      <c r="A185" s="164" t="s">
        <v>517</v>
      </c>
      <c r="B185" s="161"/>
      <c r="C185" s="165" t="s">
        <v>518</v>
      </c>
      <c r="D185" s="161"/>
      <c r="E185" s="161"/>
      <c r="F185" s="161"/>
      <c r="G185" s="9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ht="15.75" customHeight="1">
      <c r="A186" s="164" t="s">
        <v>519</v>
      </c>
      <c r="B186" s="161"/>
      <c r="C186" s="165" t="s">
        <v>520</v>
      </c>
      <c r="D186" s="161"/>
      <c r="E186" s="161"/>
      <c r="F186" s="161"/>
      <c r="G186" s="9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ht="15.75" customHeight="1">
      <c r="A187" s="164" t="s">
        <v>521</v>
      </c>
      <c r="B187" s="161"/>
      <c r="C187" s="165" t="s">
        <v>522</v>
      </c>
      <c r="D187" s="161"/>
      <c r="E187" s="161"/>
      <c r="F187" s="161"/>
      <c r="G187" s="9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ht="15.75" customHeight="1">
      <c r="A188" s="164" t="s">
        <v>523</v>
      </c>
      <c r="B188" s="161"/>
      <c r="C188" s="165" t="s">
        <v>282</v>
      </c>
      <c r="D188" s="161"/>
      <c r="E188" s="161"/>
      <c r="F188" s="161"/>
      <c r="G188" s="9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ht="15.75" customHeight="1">
      <c r="A189" s="164" t="s">
        <v>525</v>
      </c>
      <c r="B189" s="161"/>
      <c r="C189" s="165" t="s">
        <v>296</v>
      </c>
      <c r="D189" s="161"/>
      <c r="E189" s="161"/>
      <c r="F189" s="161"/>
      <c r="G189" s="9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ht="15.75" customHeight="1">
      <c r="A190" s="164" t="s">
        <v>526</v>
      </c>
      <c r="B190" s="167" t="s">
        <v>327</v>
      </c>
      <c r="C190" s="165" t="s">
        <v>527</v>
      </c>
      <c r="D190" s="168" t="str">
        <f>"+0.5% Vitality | +1 Health Regeneration | +5% chance to reduce incoming damage by 5% | +0.3% Thorn damage"</f>
        <v>+0.5% Vitality | +1 Health Regeneration | +5% chance to reduce incoming damage by 5% | +0.3% Thorn damage</v>
      </c>
      <c r="E190" s="168" t="str">
        <f>"+5% Vitality | +10 Health Regeneration | +50% chance to reduce incoming damage by 50% | +3% Thorn damage"</f>
        <v>+5% Vitality | +10 Health Regeneration | +50% chance to reduce incoming damage by 50% | +3% Thorn damage</v>
      </c>
      <c r="F190" s="168" t="s">
        <v>529</v>
      </c>
      <c r="G190" s="9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ht="15.75" customHeight="1">
      <c r="A191" s="164" t="s">
        <v>530</v>
      </c>
      <c r="B191" s="161"/>
      <c r="C191" s="165" t="s">
        <v>531</v>
      </c>
      <c r="D191" s="161"/>
      <c r="E191" s="161"/>
      <c r="F191" s="161"/>
      <c r="G191" s="9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ht="15.75" customHeight="1">
      <c r="A192" s="177" t="s">
        <v>532</v>
      </c>
      <c r="B192" s="167" t="s">
        <v>187</v>
      </c>
      <c r="C192" s="165" t="s">
        <v>533</v>
      </c>
      <c r="D192" s="168" t="str">
        <f>"+0.8% Attack Speed | +1.5% Lethality | +0.6% Swiftness | -0.8% Vitality"</f>
        <v>+0.8% Attack Speed | +1.5% Lethality | +0.6% Swiftness | -0.8% Vitality</v>
      </c>
      <c r="E192" s="168" t="str">
        <f>"+8% Attack Speed | +15% Lethality | +6% Swiftness | -8% Vitality"</f>
        <v>+8% Attack Speed | +15% Lethality | +6% Swiftness | -8% Vitality</v>
      </c>
      <c r="F192" s="168" t="s">
        <v>534</v>
      </c>
      <c r="G192" s="9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ht="15.75" customHeight="1">
      <c r="A193" s="164" t="s">
        <v>535</v>
      </c>
      <c r="B193" s="167" t="s">
        <v>187</v>
      </c>
      <c r="C193" s="165" t="s">
        <v>522</v>
      </c>
      <c r="D193" s="168" t="str">
        <f>"4.5% Chance for 6.5% weapon damage AOE Explosion | Deals 5% of weapon damage as fire per second for 0.5s (4.5% chance)"</f>
        <v>4.5% Chance for 6.5% weapon damage AOE Explosion | Deals 5% of weapon damage as fire per second for 0.5s (4.5% chance)</v>
      </c>
      <c r="E193" s="168" t="str">
        <f>"45% Chance for 65% weapon damage AOE Explosion | Deals 50% of weapon damage as fire per second for 5s (45% chance)"</f>
        <v>45% Chance for 65% weapon damage AOE Explosion | Deals 50% of weapon damage as fire per second for 5s (45% chance)</v>
      </c>
      <c r="F193" s="168" t="s">
        <v>536</v>
      </c>
      <c r="G193" s="9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ht="15.75" customHeight="1">
      <c r="A194" s="164" t="s">
        <v>537</v>
      </c>
      <c r="B194" s="175" t="s">
        <v>340</v>
      </c>
      <c r="C194" s="165" t="s">
        <v>538</v>
      </c>
      <c r="D194" s="168" t="str">
        <f>"+4.5% Critical Chance | +2% Critical Damage | +0.8% Vitality | +2.5% Physical Damage and +2.5% Movement Speed for 0.8 seconds when HP drops below 35%"</f>
        <v>+4.5% Critical Chance | +2% Critical Damage | +0.8% Vitality | +2.5% Physical Damage and +2.5% Movement Speed for 0.8 seconds when HP drops below 35%</v>
      </c>
      <c r="E194" s="168" t="str">
        <f>"+45% Critical Chance | +20% Critical Damage | +8% Vitality | +25% Physical Damage and +25% Movement Speed for 8 seconds when HP drops below 35%"</f>
        <v>+45% Critical Chance | +20% Critical Damage | +8% Vitality | +25% Physical Damage and +25% Movement Speed for 8 seconds when HP drops below 35%</v>
      </c>
      <c r="F194" s="168" t="s">
        <v>539</v>
      </c>
      <c r="G194" s="9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ht="15.75" customHeight="1">
      <c r="A195" s="164" t="s">
        <v>540</v>
      </c>
      <c r="B195" s="175" t="s">
        <v>340</v>
      </c>
      <c r="C195" s="165" t="s">
        <v>541</v>
      </c>
      <c r="D195" s="168" t="str">
        <f>"Weapons only: +6% Black Hole Damage | +3% Black Hole Chance | +6.5% Black Hole Radius | +4.5% Critical Chance | +2% Critical Damage"
</f>
        <v>Weapons only: +6% Black Hole Damage | +3% Black Hole Chance | +6.5% Black Hole Radius | +4.5% Critical Chance | +2% Critical Damage</v>
      </c>
      <c r="E195" s="168" t="str">
        <f>"Weapons only: +60% Black Hole Damage | +30% Black Hole Chance | +65% Black Hole Radius | +45% Critical Chance | +20% Critical Damage"</f>
        <v>Weapons only: +60% Black Hole Damage | +30% Black Hole Chance | +65% Black Hole Radius | +45% Critical Chance | +20% Critical Damage</v>
      </c>
      <c r="F195" s="168" t="s">
        <v>542</v>
      </c>
      <c r="G195" s="11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ht="15.75" customHeight="1">
      <c r="A201" s="1"/>
      <c r="B201" s="16"/>
      <c r="C201" s="16"/>
      <c r="D201" s="16"/>
      <c r="E201" s="16"/>
      <c r="F201" s="16"/>
      <c r="G201" s="16"/>
      <c r="H201" s="16"/>
      <c r="I201" s="1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ht="15.75" customHeight="1">
      <c r="A202" s="1"/>
      <c r="B202" s="109"/>
      <c r="C202" s="109"/>
      <c r="D202" s="151"/>
      <c r="E202" s="109"/>
      <c r="F202" s="108"/>
      <c r="G202" s="109"/>
      <c r="H202" s="109"/>
      <c r="I202" s="109"/>
      <c r="J202" s="1"/>
      <c r="K202" s="1"/>
      <c r="L202" s="1"/>
      <c r="M202" s="111"/>
      <c r="N202" s="111"/>
      <c r="O202" s="113"/>
      <c r="P202" s="11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ht="15.75" customHeight="1">
      <c r="A203" s="1"/>
      <c r="B203" s="108"/>
      <c r="C203" s="108"/>
      <c r="D203" s="151"/>
      <c r="E203" s="109"/>
      <c r="F203" s="108"/>
      <c r="G203" s="108"/>
      <c r="H203" s="109"/>
      <c r="I203" s="108"/>
      <c r="J203" s="1"/>
      <c r="K203" s="1"/>
      <c r="L203" s="1"/>
      <c r="M203" s="111"/>
      <c r="N203" s="111"/>
      <c r="O203" s="55"/>
      <c r="P203" s="111"/>
      <c r="Q203" s="1"/>
      <c r="R203" s="1"/>
      <c r="S203" s="84"/>
      <c r="T203" s="84"/>
      <c r="U203" s="1"/>
      <c r="V203" s="1"/>
      <c r="W203" s="1"/>
      <c r="X203" s="1"/>
      <c r="Y203" s="1"/>
      <c r="Z203" s="1"/>
      <c r="AA203" s="1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ht="15.75" customHeight="1">
      <c r="A204" s="1"/>
      <c r="B204" s="108"/>
      <c r="C204" s="108"/>
      <c r="D204" s="151"/>
      <c r="E204" s="109"/>
      <c r="F204" s="108"/>
      <c r="G204" s="109"/>
      <c r="H204" s="109"/>
      <c r="I204" s="108"/>
      <c r="J204" s="1"/>
      <c r="K204" s="1"/>
      <c r="L204" s="1"/>
      <c r="M204" s="111"/>
      <c r="N204" s="111"/>
      <c r="O204" s="55"/>
      <c r="P204" s="111"/>
      <c r="Q204" s="1"/>
      <c r="R204" s="1"/>
      <c r="S204" s="84"/>
      <c r="T204" s="84"/>
      <c r="U204" s="1"/>
      <c r="V204" s="1"/>
      <c r="W204" s="1"/>
      <c r="X204" s="1"/>
      <c r="Y204" s="1"/>
      <c r="Z204" s="1"/>
      <c r="AA204" s="1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ht="15.75" customHeight="1">
      <c r="A205" s="1"/>
      <c r="B205" s="108"/>
      <c r="C205" s="108"/>
      <c r="D205" s="151"/>
      <c r="E205" s="109"/>
      <c r="F205" s="108"/>
      <c r="G205" s="109"/>
      <c r="H205" s="109"/>
      <c r="I205" s="108"/>
      <c r="J205" s="1"/>
      <c r="K205" s="1"/>
      <c r="L205" s="1"/>
      <c r="M205" s="111"/>
      <c r="N205" s="111"/>
      <c r="O205" s="55"/>
      <c r="P205" s="111"/>
      <c r="Q205" s="1"/>
      <c r="R205" s="1"/>
      <c r="S205" s="84"/>
      <c r="T205" s="84"/>
      <c r="U205" s="1"/>
      <c r="V205" s="1"/>
      <c r="W205" s="1"/>
      <c r="X205" s="1"/>
      <c r="Y205" s="1"/>
      <c r="Z205" s="1"/>
      <c r="AA205" s="1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ht="15.75" customHeight="1">
      <c r="A206" s="1"/>
      <c r="B206" s="108"/>
      <c r="C206" s="108"/>
      <c r="D206" s="151"/>
      <c r="E206" s="109"/>
      <c r="F206" s="108"/>
      <c r="G206" s="109"/>
      <c r="H206" s="109"/>
      <c r="I206" s="108"/>
      <c r="J206" s="1"/>
      <c r="K206" s="1"/>
      <c r="L206" s="1"/>
      <c r="M206" s="111"/>
      <c r="N206" s="111"/>
      <c r="O206" s="55"/>
      <c r="P206" s="111"/>
      <c r="Q206" s="1"/>
      <c r="R206" s="1"/>
      <c r="S206" s="84"/>
      <c r="T206" s="84"/>
      <c r="U206" s="1"/>
      <c r="V206" s="1"/>
      <c r="W206" s="1"/>
      <c r="X206" s="1"/>
      <c r="Y206" s="1"/>
      <c r="Z206" s="1"/>
      <c r="AA206" s="1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ht="15.75" customHeight="1">
      <c r="A207" s="1"/>
      <c r="B207" s="108"/>
      <c r="C207" s="108"/>
      <c r="D207" s="151"/>
      <c r="E207" s="109"/>
      <c r="F207" s="108"/>
      <c r="G207" s="109"/>
      <c r="H207" s="109"/>
      <c r="I207" s="108"/>
      <c r="J207" s="1"/>
      <c r="K207" s="1"/>
      <c r="L207" s="1"/>
      <c r="M207" s="111"/>
      <c r="N207" s="111"/>
      <c r="O207" s="55"/>
      <c r="P207" s="111"/>
      <c r="Q207" s="1"/>
      <c r="R207" s="1"/>
      <c r="S207" s="84"/>
      <c r="T207" s="84"/>
      <c r="U207" s="1"/>
      <c r="V207" s="1"/>
      <c r="W207" s="1"/>
      <c r="X207" s="1"/>
      <c r="Y207" s="1"/>
      <c r="Z207" s="1"/>
      <c r="AA207" s="1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ht="15.75" customHeight="1">
      <c r="A208" s="1"/>
      <c r="B208" s="108"/>
      <c r="C208" s="108"/>
      <c r="D208" s="151"/>
      <c r="E208" s="109"/>
      <c r="F208" s="108"/>
      <c r="G208" s="109"/>
      <c r="H208" s="109"/>
      <c r="I208" s="108"/>
      <c r="J208" s="1"/>
      <c r="K208" s="1"/>
      <c r="L208" s="1"/>
      <c r="M208" s="111"/>
      <c r="N208" s="111"/>
      <c r="O208" s="55"/>
      <c r="P208" s="111"/>
      <c r="Q208" s="1"/>
      <c r="R208" s="1"/>
      <c r="S208" s="84"/>
      <c r="T208" s="84"/>
      <c r="U208" s="1"/>
      <c r="V208" s="1"/>
      <c r="W208" s="1"/>
      <c r="X208" s="1"/>
      <c r="Y208" s="1"/>
      <c r="Z208" s="1"/>
      <c r="AA208" s="1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ht="15.75" customHeight="1">
      <c r="A209" s="1"/>
      <c r="B209" s="108"/>
      <c r="C209" s="108"/>
      <c r="D209" s="151"/>
      <c r="E209" s="109"/>
      <c r="F209" s="108"/>
      <c r="G209" s="109"/>
      <c r="H209" s="109"/>
      <c r="I209" s="108"/>
      <c r="J209" s="1"/>
      <c r="K209" s="1"/>
      <c r="L209" s="1"/>
      <c r="M209" s="111"/>
      <c r="N209" s="111"/>
      <c r="O209" s="55"/>
      <c r="P209" s="111"/>
      <c r="Q209" s="1"/>
      <c r="R209" s="1"/>
      <c r="S209" s="84"/>
      <c r="T209" s="84"/>
      <c r="U209" s="1"/>
      <c r="V209" s="1"/>
      <c r="W209" s="1"/>
      <c r="X209" s="1"/>
      <c r="Y209" s="1"/>
      <c r="Z209" s="1"/>
      <c r="AA209" s="1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ht="15.75" customHeight="1">
      <c r="A210" s="1"/>
      <c r="B210" s="108"/>
      <c r="C210" s="108"/>
      <c r="D210" s="151"/>
      <c r="E210" s="109"/>
      <c r="F210" s="108"/>
      <c r="G210" s="109"/>
      <c r="H210" s="109"/>
      <c r="I210" s="108"/>
      <c r="J210" s="1"/>
      <c r="K210" s="1"/>
      <c r="L210" s="1"/>
      <c r="M210" s="111"/>
      <c r="N210" s="111"/>
      <c r="O210" s="55"/>
      <c r="P210" s="111"/>
      <c r="Q210" s="1"/>
      <c r="R210" s="1"/>
      <c r="S210" s="84"/>
      <c r="T210" s="84"/>
      <c r="U210" s="1"/>
      <c r="V210" s="1"/>
      <c r="W210" s="1"/>
      <c r="X210" s="1"/>
      <c r="Y210" s="1"/>
      <c r="Z210" s="1"/>
      <c r="AA210" s="1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ht="15.75" customHeight="1">
      <c r="A211" s="1"/>
      <c r="B211" s="108"/>
      <c r="C211" s="108"/>
      <c r="D211" s="151"/>
      <c r="E211" s="109"/>
      <c r="F211" s="108"/>
      <c r="G211" s="109"/>
      <c r="H211" s="109"/>
      <c r="I211" s="108"/>
      <c r="J211" s="1"/>
      <c r="K211" s="1"/>
      <c r="L211" s="1"/>
      <c r="M211" s="111"/>
      <c r="N211" s="111"/>
      <c r="O211" s="55"/>
      <c r="P211" s="111"/>
      <c r="Q211" s="1"/>
      <c r="R211" s="1"/>
      <c r="S211" s="84"/>
      <c r="T211" s="84"/>
      <c r="U211" s="1"/>
      <c r="V211" s="1"/>
      <c r="W211" s="1"/>
      <c r="X211" s="1"/>
      <c r="Y211" s="1"/>
      <c r="Z211" s="1"/>
      <c r="AA211" s="1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ht="15.75" customHeight="1">
      <c r="A212" s="1"/>
      <c r="B212" s="108"/>
      <c r="C212" s="108"/>
      <c r="D212" s="151"/>
      <c r="E212" s="109"/>
      <c r="F212" s="108"/>
      <c r="G212" s="109"/>
      <c r="H212" s="109"/>
      <c r="I212" s="108"/>
      <c r="J212" s="1"/>
      <c r="K212" s="1"/>
      <c r="L212" s="1"/>
      <c r="M212" s="111"/>
      <c r="N212" s="111"/>
      <c r="O212" s="55"/>
      <c r="P212" s="111"/>
      <c r="Q212" s="1"/>
      <c r="R212" s="1"/>
      <c r="S212" s="84"/>
      <c r="T212" s="84"/>
      <c r="U212" s="1"/>
      <c r="V212" s="1"/>
      <c r="W212" s="1"/>
      <c r="X212" s="1"/>
      <c r="Y212" s="1"/>
      <c r="Z212" s="1"/>
      <c r="AA212" s="1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ht="15.75" customHeight="1">
      <c r="A213" s="1"/>
      <c r="B213" s="108"/>
      <c r="C213" s="108"/>
      <c r="D213" s="151"/>
      <c r="E213" s="109"/>
      <c r="F213" s="108"/>
      <c r="G213" s="109"/>
      <c r="H213" s="109"/>
      <c r="I213" s="108"/>
      <c r="J213" s="1"/>
      <c r="K213" s="1"/>
      <c r="L213" s="1"/>
      <c r="M213" s="111"/>
      <c r="N213" s="111"/>
      <c r="O213" s="55"/>
      <c r="P213" s="111"/>
      <c r="Q213" s="1"/>
      <c r="R213" s="1"/>
      <c r="S213" s="84"/>
      <c r="T213" s="84"/>
      <c r="U213" s="1"/>
      <c r="V213" s="1"/>
      <c r="W213" s="1"/>
      <c r="X213" s="1"/>
      <c r="Y213" s="1"/>
      <c r="Z213" s="1"/>
      <c r="AA213" s="1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ht="15.75" customHeight="1">
      <c r="A214" s="1"/>
      <c r="B214" s="108"/>
      <c r="C214" s="108"/>
      <c r="D214" s="151"/>
      <c r="E214" s="109"/>
      <c r="F214" s="108"/>
      <c r="G214" s="109"/>
      <c r="H214" s="109"/>
      <c r="I214" s="108"/>
      <c r="J214" s="1"/>
      <c r="K214" s="1"/>
      <c r="L214" s="1"/>
      <c r="M214" s="113"/>
      <c r="N214" s="113"/>
      <c r="O214" s="1"/>
      <c r="P214" s="113"/>
      <c r="Q214" s="1"/>
      <c r="R214" s="1"/>
      <c r="S214" s="84"/>
      <c r="T214" s="84"/>
      <c r="U214" s="1"/>
      <c r="V214" s="1"/>
      <c r="W214" s="1"/>
      <c r="X214" s="1"/>
      <c r="Y214" s="1"/>
      <c r="Z214" s="1"/>
      <c r="AA214" s="1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ht="15.75" customHeight="1">
      <c r="A215" s="1"/>
      <c r="B215" s="108"/>
      <c r="C215" s="108"/>
      <c r="D215" s="151"/>
      <c r="E215" s="109"/>
      <c r="F215" s="108"/>
      <c r="G215" s="109"/>
      <c r="H215" s="109"/>
      <c r="I215" s="108"/>
      <c r="J215" s="1"/>
      <c r="K215" s="1"/>
      <c r="L215" s="1"/>
      <c r="M215" s="113"/>
      <c r="N215" s="113"/>
      <c r="O215" s="1"/>
      <c r="P215" s="113"/>
      <c r="Q215" s="1"/>
      <c r="R215" s="1"/>
      <c r="S215" s="84"/>
      <c r="T215" s="84"/>
      <c r="U215" s="1"/>
      <c r="V215" s="1"/>
      <c r="W215" s="1"/>
      <c r="X215" s="1"/>
      <c r="Y215" s="1"/>
      <c r="Z215" s="1"/>
      <c r="AA215" s="1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ht="15.75" customHeight="1">
      <c r="A216" s="1"/>
      <c r="B216" s="108"/>
      <c r="C216" s="108"/>
      <c r="D216" s="151"/>
      <c r="E216" s="109"/>
      <c r="F216" s="108"/>
      <c r="G216" s="109"/>
      <c r="H216" s="109"/>
      <c r="I216" s="108"/>
      <c r="J216" s="1"/>
      <c r="K216" s="1"/>
      <c r="L216" s="1"/>
      <c r="M216" s="113"/>
      <c r="N216" s="113"/>
      <c r="O216" s="1"/>
      <c r="P216" s="113"/>
      <c r="Q216" s="1"/>
      <c r="R216" s="1"/>
      <c r="S216" s="84"/>
      <c r="T216" s="84"/>
      <c r="U216" s="1"/>
      <c r="V216" s="1"/>
      <c r="W216" s="1"/>
      <c r="X216" s="1"/>
      <c r="Y216" s="1"/>
      <c r="Z216" s="1"/>
      <c r="AA216" s="1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ht="15.75" customHeight="1">
      <c r="A217" s="1"/>
      <c r="B217" s="108"/>
      <c r="C217" s="108"/>
      <c r="D217" s="151"/>
      <c r="E217" s="109"/>
      <c r="F217" s="108"/>
      <c r="G217" s="109"/>
      <c r="H217" s="109"/>
      <c r="I217" s="108"/>
      <c r="J217" s="1"/>
      <c r="K217" s="1"/>
      <c r="L217" s="1"/>
      <c r="M217" s="113"/>
      <c r="N217" s="113"/>
      <c r="O217" s="55"/>
      <c r="P217" s="113"/>
      <c r="Q217" s="1"/>
      <c r="R217" s="1"/>
      <c r="S217" s="84"/>
      <c r="T217" s="84"/>
      <c r="U217" s="1"/>
      <c r="V217" s="1"/>
      <c r="W217" s="1"/>
      <c r="X217" s="1"/>
      <c r="Y217" s="1"/>
      <c r="Z217" s="1"/>
      <c r="AA217" s="1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ht="15.75" customHeight="1">
      <c r="A218" s="1"/>
      <c r="B218" s="108"/>
      <c r="C218" s="108"/>
      <c r="D218" s="151"/>
      <c r="E218" s="109"/>
      <c r="F218" s="108"/>
      <c r="G218" s="109"/>
      <c r="H218" s="109"/>
      <c r="I218" s="108"/>
      <c r="J218" s="1"/>
      <c r="K218" s="1"/>
      <c r="L218" s="1"/>
      <c r="M218" s="111"/>
      <c r="N218" s="113"/>
      <c r="O218" s="55"/>
      <c r="P218" s="113"/>
      <c r="Q218" s="1"/>
      <c r="R218" s="1"/>
      <c r="S218" s="84"/>
      <c r="T218" s="84"/>
      <c r="U218" s="1"/>
      <c r="V218" s="1"/>
      <c r="W218" s="1"/>
      <c r="X218" s="1"/>
      <c r="Y218" s="1"/>
      <c r="Z218" s="1"/>
      <c r="AA218" s="1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ht="15.75" customHeight="1">
      <c r="A219" s="1"/>
      <c r="B219" s="108"/>
      <c r="C219" s="108"/>
      <c r="D219" s="151"/>
      <c r="E219" s="109"/>
      <c r="F219" s="108"/>
      <c r="G219" s="109"/>
      <c r="H219" s="109"/>
      <c r="I219" s="108"/>
      <c r="J219" s="1"/>
      <c r="K219" s="1"/>
      <c r="L219" s="1"/>
      <c r="M219" s="111"/>
      <c r="N219" s="113"/>
      <c r="O219" s="55"/>
      <c r="P219" s="113"/>
      <c r="Q219" s="1"/>
      <c r="R219" s="1"/>
      <c r="S219" s="84"/>
      <c r="T219" s="84"/>
      <c r="U219" s="1"/>
      <c r="V219" s="1"/>
      <c r="W219" s="1"/>
      <c r="X219" s="1"/>
      <c r="Y219" s="1"/>
      <c r="Z219" s="1"/>
      <c r="AA219" s="1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ht="15.75" customHeight="1">
      <c r="A220" s="1"/>
      <c r="B220" s="108"/>
      <c r="C220" s="108"/>
      <c r="D220" s="151"/>
      <c r="E220" s="109"/>
      <c r="F220" s="108"/>
      <c r="G220" s="109"/>
      <c r="H220" s="109"/>
      <c r="I220" s="108"/>
      <c r="J220" s="1"/>
      <c r="K220" s="1"/>
      <c r="L220" s="1"/>
      <c r="M220" s="111"/>
      <c r="N220" s="113"/>
      <c r="O220" s="55"/>
      <c r="P220" s="113"/>
      <c r="Q220" s="1"/>
      <c r="R220" s="1"/>
      <c r="S220" s="84"/>
      <c r="T220" s="84"/>
      <c r="U220" s="1"/>
      <c r="V220" s="1"/>
      <c r="W220" s="1"/>
      <c r="X220" s="1"/>
      <c r="Y220" s="1"/>
      <c r="Z220" s="1"/>
      <c r="AA220" s="1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ht="15.75" customHeight="1">
      <c r="A221" s="1"/>
      <c r="B221" s="108"/>
      <c r="C221" s="108"/>
      <c r="D221" s="151"/>
      <c r="E221" s="109"/>
      <c r="F221" s="108"/>
      <c r="G221" s="109"/>
      <c r="H221" s="109"/>
      <c r="I221" s="108"/>
      <c r="J221" s="1"/>
      <c r="K221" s="1"/>
      <c r="L221" s="1"/>
      <c r="M221" s="111"/>
      <c r="N221" s="113"/>
      <c r="O221" s="55"/>
      <c r="P221" s="113"/>
      <c r="Q221" s="1"/>
      <c r="R221" s="1"/>
      <c r="S221" s="84"/>
      <c r="T221" s="84"/>
      <c r="U221" s="1"/>
      <c r="V221" s="1"/>
      <c r="W221" s="1"/>
      <c r="X221" s="1"/>
      <c r="Y221" s="1"/>
      <c r="Z221" s="1"/>
      <c r="AA221" s="1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ht="15.75" customHeight="1">
      <c r="A222" s="1"/>
      <c r="B222" s="108"/>
      <c r="C222" s="108"/>
      <c r="D222" s="151"/>
      <c r="E222" s="109"/>
      <c r="F222" s="108"/>
      <c r="G222" s="109"/>
      <c r="H222" s="109"/>
      <c r="I222" s="108"/>
      <c r="J222" s="1"/>
      <c r="K222" s="1"/>
      <c r="L222" s="1"/>
      <c r="M222" s="111"/>
      <c r="N222" s="113"/>
      <c r="O222" s="55"/>
      <c r="P222" s="113"/>
      <c r="Q222" s="1"/>
      <c r="R222" s="1"/>
      <c r="S222" s="84"/>
      <c r="T222" s="84"/>
      <c r="U222" s="1"/>
      <c r="V222" s="1"/>
      <c r="W222" s="1"/>
      <c r="X222" s="1"/>
      <c r="Y222" s="1"/>
      <c r="Z222" s="1"/>
      <c r="AA222" s="1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ht="15.75" customHeight="1">
      <c r="A223" s="1"/>
      <c r="B223" s="108"/>
      <c r="C223" s="108"/>
      <c r="D223" s="151"/>
      <c r="E223" s="109"/>
      <c r="F223" s="108"/>
      <c r="G223" s="109"/>
      <c r="H223" s="109"/>
      <c r="I223" s="108"/>
      <c r="J223" s="1"/>
      <c r="K223" s="1"/>
      <c r="L223" s="1"/>
      <c r="M223" s="111"/>
      <c r="N223" s="113"/>
      <c r="O223" s="55"/>
      <c r="P223" s="113"/>
      <c r="Q223" s="1"/>
      <c r="R223" s="1"/>
      <c r="S223" s="84"/>
      <c r="T223" s="84"/>
      <c r="U223" s="1"/>
      <c r="V223" s="1"/>
      <c r="W223" s="1"/>
      <c r="X223" s="1"/>
      <c r="Y223" s="1"/>
      <c r="Z223" s="1"/>
      <c r="AA223" s="1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ht="15.75" customHeight="1">
      <c r="A224" s="1"/>
      <c r="B224" s="108"/>
      <c r="C224" s="108"/>
      <c r="D224" s="151"/>
      <c r="E224" s="109"/>
      <c r="F224" s="108"/>
      <c r="G224" s="109"/>
      <c r="H224" s="109"/>
      <c r="I224" s="108"/>
      <c r="J224" s="1"/>
      <c r="K224" s="1"/>
      <c r="L224" s="1"/>
      <c r="M224" s="111"/>
      <c r="N224" s="113"/>
      <c r="O224" s="55"/>
      <c r="P224" s="113"/>
      <c r="Q224" s="1"/>
      <c r="R224" s="1"/>
      <c r="S224" s="84"/>
      <c r="T224" s="84"/>
      <c r="U224" s="1"/>
      <c r="V224" s="1"/>
      <c r="W224" s="1"/>
      <c r="X224" s="1"/>
      <c r="Y224" s="1"/>
      <c r="Z224" s="1"/>
      <c r="AA224" s="1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ht="15.75" customHeight="1">
      <c r="A225" s="1"/>
      <c r="B225" s="108"/>
      <c r="C225" s="108"/>
      <c r="D225" s="151"/>
      <c r="E225" s="109"/>
      <c r="F225" s="108"/>
      <c r="G225" s="109"/>
      <c r="H225" s="109"/>
      <c r="I225" s="108"/>
      <c r="J225" s="1"/>
      <c r="K225" s="1"/>
      <c r="L225" s="1"/>
      <c r="M225" s="111"/>
      <c r="N225" s="113"/>
      <c r="O225" s="55"/>
      <c r="P225" s="113"/>
      <c r="Q225" s="1"/>
      <c r="R225" s="1"/>
      <c r="S225" s="84"/>
      <c r="T225" s="84"/>
      <c r="U225" s="1"/>
      <c r="V225" s="1"/>
      <c r="W225" s="1"/>
      <c r="X225" s="1"/>
      <c r="Y225" s="1"/>
      <c r="Z225" s="1"/>
      <c r="AA225" s="1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ht="15.75" customHeight="1">
      <c r="A226" s="1"/>
      <c r="B226" s="108"/>
      <c r="C226" s="108"/>
      <c r="D226" s="151"/>
      <c r="E226" s="109"/>
      <c r="F226" s="108"/>
      <c r="G226" s="109"/>
      <c r="H226" s="109"/>
      <c r="I226" s="108"/>
      <c r="J226" s="1"/>
      <c r="K226" s="1"/>
      <c r="L226" s="1"/>
      <c r="M226" s="111"/>
      <c r="N226" s="113"/>
      <c r="O226" s="55"/>
      <c r="P226" s="113"/>
      <c r="Q226" s="1"/>
      <c r="R226" s="1"/>
      <c r="S226" s="84"/>
      <c r="T226" s="84"/>
      <c r="U226" s="1"/>
      <c r="V226" s="1"/>
      <c r="W226" s="1"/>
      <c r="X226" s="1"/>
      <c r="Y226" s="1"/>
      <c r="Z226" s="1"/>
      <c r="AA226" s="1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ht="15.75" customHeight="1">
      <c r="A227" s="1"/>
      <c r="B227" s="108"/>
      <c r="C227" s="108"/>
      <c r="D227" s="151"/>
      <c r="E227" s="109"/>
      <c r="F227" s="108"/>
      <c r="G227" s="109"/>
      <c r="H227" s="109"/>
      <c r="I227" s="108"/>
      <c r="J227" s="1"/>
      <c r="K227" s="1"/>
      <c r="L227" s="1"/>
      <c r="M227" s="113"/>
      <c r="N227" s="113"/>
      <c r="O227" s="55"/>
      <c r="P227" s="113"/>
      <c r="Q227" s="1"/>
      <c r="R227" s="1"/>
      <c r="S227" s="84"/>
      <c r="T227" s="84"/>
      <c r="U227" s="1"/>
      <c r="V227" s="1"/>
      <c r="W227" s="1"/>
      <c r="X227" s="1"/>
      <c r="Y227" s="1"/>
      <c r="Z227" s="1"/>
      <c r="AA227" s="1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ht="15.75" customHeight="1">
      <c r="A228" s="1"/>
      <c r="B228" s="108"/>
      <c r="C228" s="108"/>
      <c r="D228" s="151"/>
      <c r="E228" s="109"/>
      <c r="F228" s="108"/>
      <c r="G228" s="109"/>
      <c r="H228" s="109"/>
      <c r="I228" s="108"/>
      <c r="J228" s="1"/>
      <c r="K228" s="1"/>
      <c r="L228" s="1"/>
      <c r="M228" s="113"/>
      <c r="N228" s="113"/>
      <c r="O228" s="55"/>
      <c r="P228" s="113"/>
      <c r="Q228" s="1"/>
      <c r="R228" s="1"/>
      <c r="S228" s="84"/>
      <c r="T228" s="84"/>
      <c r="U228" s="1"/>
      <c r="V228" s="1"/>
      <c r="W228" s="1"/>
      <c r="X228" s="1"/>
      <c r="Y228" s="1"/>
      <c r="Z228" s="1"/>
      <c r="AA228" s="1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ht="15.75" customHeight="1">
      <c r="A229" s="1"/>
      <c r="B229" s="108"/>
      <c r="C229" s="108"/>
      <c r="D229" s="151"/>
      <c r="E229" s="109"/>
      <c r="F229" s="108"/>
      <c r="G229" s="109"/>
      <c r="H229" s="109"/>
      <c r="I229" s="108"/>
      <c r="J229" s="1"/>
      <c r="K229" s="1"/>
      <c r="L229" s="1"/>
      <c r="M229" s="113"/>
      <c r="N229" s="113"/>
      <c r="O229" s="1"/>
      <c r="P229" s="113"/>
      <c r="Q229" s="1"/>
      <c r="R229" s="1"/>
      <c r="S229" s="84"/>
      <c r="T229" s="84"/>
      <c r="U229" s="1"/>
      <c r="V229" s="1"/>
      <c r="W229" s="1"/>
      <c r="X229" s="1"/>
      <c r="Y229" s="1"/>
      <c r="Z229" s="1"/>
      <c r="AA229" s="1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ht="15.75" customHeight="1">
      <c r="A230" s="1"/>
      <c r="B230" s="108"/>
      <c r="C230" s="108"/>
      <c r="D230" s="151"/>
      <c r="E230" s="109"/>
      <c r="F230" s="108"/>
      <c r="G230" s="109"/>
      <c r="H230" s="109"/>
      <c r="I230" s="108"/>
      <c r="J230" s="1"/>
      <c r="K230" s="1"/>
      <c r="L230" s="1"/>
      <c r="M230" s="113"/>
      <c r="N230" s="113"/>
      <c r="O230" s="1"/>
      <c r="P230" s="113"/>
      <c r="Q230" s="1"/>
      <c r="R230" s="1"/>
      <c r="S230" s="84"/>
      <c r="T230" s="84"/>
      <c r="U230" s="1"/>
      <c r="V230" s="1"/>
      <c r="W230" s="1"/>
      <c r="X230" s="1"/>
      <c r="Y230" s="1"/>
      <c r="Z230" s="1"/>
      <c r="AA230" s="1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ht="15.75" customHeight="1">
      <c r="A231" s="1"/>
      <c r="B231" s="108"/>
      <c r="C231" s="108"/>
      <c r="D231" s="151"/>
      <c r="E231" s="109"/>
      <c r="F231" s="108"/>
      <c r="G231" s="109"/>
      <c r="H231" s="109"/>
      <c r="I231" s="108"/>
      <c r="J231" s="1"/>
      <c r="K231" s="1"/>
      <c r="L231" s="1"/>
      <c r="M231" s="111"/>
      <c r="N231" s="111"/>
      <c r="O231" s="1"/>
      <c r="P231" s="111"/>
      <c r="Q231" s="1"/>
      <c r="R231" s="1"/>
      <c r="S231" s="84"/>
      <c r="T231" s="84"/>
      <c r="U231" s="1"/>
      <c r="V231" s="1"/>
      <c r="W231" s="1"/>
      <c r="X231" s="1"/>
      <c r="Y231" s="1"/>
      <c r="Z231" s="1"/>
      <c r="AA231" s="1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ht="15.75" customHeight="1">
      <c r="A232" s="1"/>
      <c r="B232" s="108"/>
      <c r="C232" s="108"/>
      <c r="D232" s="151"/>
      <c r="E232" s="109"/>
      <c r="F232" s="108"/>
      <c r="G232" s="109"/>
      <c r="H232" s="109"/>
      <c r="I232" s="108"/>
      <c r="J232" s="1"/>
      <c r="K232" s="1"/>
      <c r="L232" s="1"/>
      <c r="M232" s="111"/>
      <c r="N232" s="111"/>
      <c r="O232" s="55"/>
      <c r="P232" s="111"/>
      <c r="Q232" s="1"/>
      <c r="R232" s="1"/>
      <c r="S232" s="84"/>
      <c r="T232" s="84"/>
      <c r="U232" s="1"/>
      <c r="V232" s="1"/>
      <c r="W232" s="1"/>
      <c r="X232" s="1"/>
      <c r="Y232" s="1"/>
      <c r="Z232" s="1"/>
      <c r="AA232" s="1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ht="15.75" customHeight="1">
      <c r="A233" s="1"/>
      <c r="B233" s="108"/>
      <c r="C233" s="108"/>
      <c r="D233" s="151"/>
      <c r="E233" s="109"/>
      <c r="F233" s="108"/>
      <c r="G233" s="109"/>
      <c r="H233" s="109"/>
      <c r="I233" s="108"/>
      <c r="J233" s="1"/>
      <c r="K233" s="1"/>
      <c r="L233" s="1"/>
      <c r="M233" s="111"/>
      <c r="N233" s="111"/>
      <c r="O233" s="55"/>
      <c r="P233" s="111"/>
      <c r="Q233" s="1"/>
      <c r="R233" s="1"/>
      <c r="S233" s="84"/>
      <c r="T233" s="84"/>
      <c r="U233" s="1"/>
      <c r="V233" s="1"/>
      <c r="W233" s="1"/>
      <c r="X233" s="1"/>
      <c r="Y233" s="1"/>
      <c r="Z233" s="1"/>
      <c r="AA233" s="1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ht="15.75" customHeight="1">
      <c r="A234" s="1"/>
      <c r="B234" s="108"/>
      <c r="C234" s="108"/>
      <c r="D234" s="151"/>
      <c r="E234" s="109"/>
      <c r="F234" s="108"/>
      <c r="G234" s="109"/>
      <c r="H234" s="109"/>
      <c r="I234" s="108"/>
      <c r="J234" s="1"/>
      <c r="K234" s="1"/>
      <c r="L234" s="1"/>
      <c r="M234" s="111"/>
      <c r="N234" s="111"/>
      <c r="O234" s="55"/>
      <c r="P234" s="111"/>
      <c r="Q234" s="1"/>
      <c r="R234" s="1"/>
      <c r="S234" s="84"/>
      <c r="T234" s="84"/>
      <c r="U234" s="1"/>
      <c r="V234" s="1"/>
      <c r="W234" s="1"/>
      <c r="X234" s="1"/>
      <c r="Y234" s="1"/>
      <c r="Z234" s="1"/>
      <c r="AA234" s="1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ht="15.75" customHeight="1">
      <c r="A235" s="1"/>
      <c r="B235" s="108"/>
      <c r="C235" s="108"/>
      <c r="D235" s="151"/>
      <c r="E235" s="109"/>
      <c r="F235" s="108"/>
      <c r="G235" s="109"/>
      <c r="H235" s="109"/>
      <c r="I235" s="108"/>
      <c r="J235" s="1"/>
      <c r="K235" s="1"/>
      <c r="L235" s="1"/>
      <c r="M235" s="111"/>
      <c r="N235" s="111"/>
      <c r="O235" s="55"/>
      <c r="P235" s="111"/>
      <c r="Q235" s="1"/>
      <c r="R235" s="1"/>
      <c r="S235" s="84"/>
      <c r="T235" s="84"/>
      <c r="U235" s="1"/>
      <c r="V235" s="1"/>
      <c r="W235" s="1"/>
      <c r="X235" s="1"/>
      <c r="Y235" s="1"/>
      <c r="Z235" s="1"/>
      <c r="AA235" s="1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ht="15.75" customHeight="1">
      <c r="A236" s="1"/>
      <c r="B236" s="108"/>
      <c r="C236" s="108"/>
      <c r="D236" s="151"/>
      <c r="E236" s="109"/>
      <c r="F236" s="108"/>
      <c r="G236" s="109"/>
      <c r="H236" s="109"/>
      <c r="I236" s="108"/>
      <c r="J236" s="1"/>
      <c r="K236" s="1"/>
      <c r="L236" s="1"/>
      <c r="M236" s="113"/>
      <c r="N236" s="111"/>
      <c r="O236" s="55"/>
      <c r="P236" s="111"/>
      <c r="Q236" s="1"/>
      <c r="R236" s="1"/>
      <c r="S236" s="84"/>
      <c r="T236" s="84"/>
      <c r="U236" s="1"/>
      <c r="V236" s="1"/>
      <c r="W236" s="1"/>
      <c r="X236" s="1"/>
      <c r="Y236" s="1"/>
      <c r="Z236" s="1"/>
      <c r="AA236" s="1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ht="15.75" customHeight="1">
      <c r="A237" s="1"/>
      <c r="B237" s="108"/>
      <c r="C237" s="108"/>
      <c r="D237" s="151"/>
      <c r="E237" s="109"/>
      <c r="F237" s="108"/>
      <c r="G237" s="109"/>
      <c r="H237" s="109"/>
      <c r="I237" s="108"/>
      <c r="J237" s="1"/>
      <c r="K237" s="1"/>
      <c r="L237" s="1"/>
      <c r="M237" s="113"/>
      <c r="N237" s="111"/>
      <c r="O237" s="55"/>
      <c r="P237" s="111"/>
      <c r="Q237" s="1"/>
      <c r="R237" s="1"/>
      <c r="S237" s="84"/>
      <c r="T237" s="84"/>
      <c r="U237" s="1"/>
      <c r="V237" s="1"/>
      <c r="W237" s="1"/>
      <c r="X237" s="1"/>
      <c r="Y237" s="1"/>
      <c r="Z237" s="1"/>
      <c r="AA237" s="1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ht="15.75" customHeight="1">
      <c r="A238" s="1"/>
      <c r="B238" s="108"/>
      <c r="C238" s="108"/>
      <c r="D238" s="151"/>
      <c r="E238" s="109"/>
      <c r="F238" s="108"/>
      <c r="G238" s="109"/>
      <c r="H238" s="109"/>
      <c r="I238" s="108"/>
      <c r="J238" s="1"/>
      <c r="K238" s="1"/>
      <c r="L238" s="1"/>
      <c r="M238" s="113"/>
      <c r="N238" s="111"/>
      <c r="O238" s="55"/>
      <c r="P238" s="111"/>
      <c r="Q238" s="1"/>
      <c r="R238" s="1"/>
      <c r="S238" s="84"/>
      <c r="T238" s="84"/>
      <c r="U238" s="1"/>
      <c r="V238" s="1"/>
      <c r="W238" s="1"/>
      <c r="X238" s="1"/>
      <c r="Y238" s="1"/>
      <c r="Z238" s="1"/>
      <c r="AA238" s="1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ht="15.75" customHeight="1">
      <c r="A239" s="1"/>
      <c r="B239" s="108"/>
      <c r="C239" s="108"/>
      <c r="D239" s="151"/>
      <c r="E239" s="109"/>
      <c r="F239" s="108"/>
      <c r="G239" s="109"/>
      <c r="H239" s="109"/>
      <c r="I239" s="108"/>
      <c r="J239" s="1"/>
      <c r="K239" s="1"/>
      <c r="L239" s="1"/>
      <c r="M239" s="113"/>
      <c r="N239" s="113"/>
      <c r="O239" s="1"/>
      <c r="P239" s="113"/>
      <c r="Q239" s="1"/>
      <c r="R239" s="1"/>
      <c r="S239" s="84"/>
      <c r="T239" s="84"/>
      <c r="U239" s="1"/>
      <c r="V239" s="1"/>
      <c r="W239" s="1"/>
      <c r="X239" s="1"/>
      <c r="Y239" s="1"/>
      <c r="Z239" s="1"/>
      <c r="AA239" s="1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ht="15.75" customHeight="1">
      <c r="A240" s="1"/>
      <c r="B240" s="108"/>
      <c r="C240" s="108"/>
      <c r="D240" s="151"/>
      <c r="E240" s="109"/>
      <c r="F240" s="108"/>
      <c r="G240" s="109"/>
      <c r="H240" s="109"/>
      <c r="I240" s="108"/>
      <c r="J240" s="1"/>
      <c r="K240" s="1"/>
      <c r="L240" s="1"/>
      <c r="M240" s="111"/>
      <c r="N240" s="111"/>
      <c r="O240" s="1"/>
      <c r="P240" s="111"/>
      <c r="Q240" s="1"/>
      <c r="R240" s="1"/>
      <c r="S240" s="84"/>
      <c r="T240" s="84"/>
      <c r="U240" s="1"/>
      <c r="V240" s="1"/>
      <c r="W240" s="1"/>
      <c r="X240" s="1"/>
      <c r="Y240" s="1"/>
      <c r="Z240" s="1"/>
      <c r="AA240" s="1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ht="15.75" customHeight="1">
      <c r="A241" s="1"/>
      <c r="B241" s="108"/>
      <c r="C241" s="108"/>
      <c r="D241" s="151"/>
      <c r="E241" s="109"/>
      <c r="F241" s="108"/>
      <c r="G241" s="109"/>
      <c r="H241" s="109"/>
      <c r="I241" s="108"/>
      <c r="J241" s="1"/>
      <c r="K241" s="1"/>
      <c r="L241" s="1"/>
      <c r="M241" s="111"/>
      <c r="N241" s="111"/>
      <c r="O241" s="1"/>
      <c r="P241" s="111"/>
      <c r="Q241" s="1"/>
      <c r="R241" s="1"/>
      <c r="S241" s="84"/>
      <c r="T241" s="84"/>
      <c r="U241" s="1"/>
      <c r="V241" s="1"/>
      <c r="W241" s="1"/>
      <c r="X241" s="1"/>
      <c r="Y241" s="1"/>
      <c r="Z241" s="1"/>
      <c r="AA241" s="1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ht="15.75" customHeight="1">
      <c r="A242" s="1"/>
      <c r="B242" s="108"/>
      <c r="C242" s="108"/>
      <c r="D242" s="151"/>
      <c r="E242" s="109"/>
      <c r="F242" s="108"/>
      <c r="G242" s="109"/>
      <c r="H242" s="109"/>
      <c r="I242" s="108"/>
      <c r="J242" s="1"/>
      <c r="K242" s="1"/>
      <c r="L242" s="1"/>
      <c r="M242" s="111"/>
      <c r="N242" s="111"/>
      <c r="O242" s="55"/>
      <c r="P242" s="111"/>
      <c r="Q242" s="1"/>
      <c r="R242" s="1"/>
      <c r="S242" s="84"/>
      <c r="T242" s="84"/>
      <c r="U242" s="1"/>
      <c r="V242" s="1"/>
      <c r="W242" s="1"/>
      <c r="X242" s="1"/>
      <c r="Y242" s="1"/>
      <c r="Z242" s="1"/>
      <c r="AA242" s="1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ht="15.75" customHeight="1">
      <c r="A243" s="1"/>
      <c r="B243" s="108"/>
      <c r="C243" s="108"/>
      <c r="D243" s="151"/>
      <c r="E243" s="109"/>
      <c r="F243" s="108"/>
      <c r="G243" s="109"/>
      <c r="H243" s="109"/>
      <c r="I243" s="108"/>
      <c r="J243" s="1"/>
      <c r="K243" s="1"/>
      <c r="L243" s="1"/>
      <c r="M243" s="111"/>
      <c r="N243" s="111"/>
      <c r="O243" s="55"/>
      <c r="P243" s="111"/>
      <c r="Q243" s="1"/>
      <c r="R243" s="1"/>
      <c r="S243" s="84"/>
      <c r="T243" s="84"/>
      <c r="U243" s="1"/>
      <c r="V243" s="1"/>
      <c r="W243" s="1"/>
      <c r="X243" s="1"/>
      <c r="Y243" s="1"/>
      <c r="Z243" s="1"/>
      <c r="AA243" s="1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ht="15.75" customHeight="1">
      <c r="A244" s="1"/>
      <c r="B244" s="108"/>
      <c r="C244" s="108"/>
      <c r="D244" s="151"/>
      <c r="E244" s="109"/>
      <c r="F244" s="108"/>
      <c r="G244" s="109"/>
      <c r="H244" s="109"/>
      <c r="I244" s="108"/>
      <c r="J244" s="1"/>
      <c r="K244" s="1"/>
      <c r="L244" s="1"/>
      <c r="M244" s="111"/>
      <c r="N244" s="111"/>
      <c r="O244" s="55"/>
      <c r="P244" s="111"/>
      <c r="Q244" s="1"/>
      <c r="R244" s="1"/>
      <c r="S244" s="84"/>
      <c r="T244" s="84"/>
      <c r="U244" s="1"/>
      <c r="V244" s="1"/>
      <c r="W244" s="1"/>
      <c r="X244" s="1"/>
      <c r="Y244" s="1"/>
      <c r="Z244" s="1"/>
      <c r="AA244" s="1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ht="15.75" customHeight="1">
      <c r="A245" s="1"/>
      <c r="B245" s="108"/>
      <c r="C245" s="108"/>
      <c r="D245" s="151"/>
      <c r="E245" s="109"/>
      <c r="F245" s="108"/>
      <c r="G245" s="109"/>
      <c r="H245" s="109"/>
      <c r="I245" s="108"/>
      <c r="J245" s="1"/>
      <c r="K245" s="1"/>
      <c r="L245" s="1"/>
      <c r="M245" s="111"/>
      <c r="N245" s="111"/>
      <c r="O245" s="55"/>
      <c r="P245" s="111"/>
      <c r="Q245" s="1"/>
      <c r="R245" s="1"/>
      <c r="S245" s="84"/>
      <c r="T245" s="84"/>
      <c r="U245" s="1"/>
      <c r="V245" s="1"/>
      <c r="W245" s="1"/>
      <c r="X245" s="1"/>
      <c r="Y245" s="1"/>
      <c r="Z245" s="1"/>
      <c r="AA245" s="1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ht="15.75" customHeight="1">
      <c r="A246" s="1"/>
      <c r="B246" s="108"/>
      <c r="C246" s="108"/>
      <c r="D246" s="151"/>
      <c r="E246" s="109"/>
      <c r="F246" s="108"/>
      <c r="G246" s="109"/>
      <c r="H246" s="109"/>
      <c r="I246" s="108"/>
      <c r="J246" s="1"/>
      <c r="K246" s="1"/>
      <c r="L246" s="1"/>
      <c r="M246" s="113"/>
      <c r="N246" s="111"/>
      <c r="O246" s="55"/>
      <c r="P246" s="111"/>
      <c r="Q246" s="1"/>
      <c r="R246" s="1"/>
      <c r="S246" s="84"/>
      <c r="T246" s="84"/>
      <c r="U246" s="1"/>
      <c r="V246" s="1"/>
      <c r="W246" s="1"/>
      <c r="X246" s="1"/>
      <c r="Y246" s="1"/>
      <c r="Z246" s="1"/>
      <c r="AA246" s="1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ht="15.75" customHeight="1">
      <c r="A247" s="1"/>
      <c r="B247" s="108"/>
      <c r="C247" s="108"/>
      <c r="D247" s="151"/>
      <c r="E247" s="109"/>
      <c r="F247" s="108"/>
      <c r="G247" s="109"/>
      <c r="H247" s="109"/>
      <c r="I247" s="108"/>
      <c r="J247" s="1"/>
      <c r="K247" s="1"/>
      <c r="L247" s="1"/>
      <c r="M247" s="113"/>
      <c r="N247" s="113"/>
      <c r="O247" s="1"/>
      <c r="P247" s="113"/>
      <c r="Q247" s="1"/>
      <c r="R247" s="1"/>
      <c r="S247" s="84"/>
      <c r="T247" s="84"/>
      <c r="U247" s="1"/>
      <c r="V247" s="1"/>
      <c r="W247" s="1"/>
      <c r="X247" s="1"/>
      <c r="Y247" s="1"/>
      <c r="Z247" s="1"/>
      <c r="AA247" s="1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ht="15.75" customHeight="1">
      <c r="A248" s="1"/>
      <c r="B248" s="108"/>
      <c r="C248" s="108"/>
      <c r="D248" s="151"/>
      <c r="E248" s="109"/>
      <c r="F248" s="108"/>
      <c r="G248" s="109"/>
      <c r="H248" s="109"/>
      <c r="I248" s="108"/>
      <c r="J248" s="1"/>
      <c r="K248" s="1"/>
      <c r="L248" s="1"/>
      <c r="M248" s="113"/>
      <c r="N248" s="113"/>
      <c r="O248" s="1"/>
      <c r="P248" s="113"/>
      <c r="Q248" s="1"/>
      <c r="R248" s="1"/>
      <c r="S248" s="84"/>
      <c r="T248" s="84"/>
      <c r="U248" s="1"/>
      <c r="V248" s="1"/>
      <c r="W248" s="1"/>
      <c r="X248" s="1"/>
      <c r="Y248" s="1"/>
      <c r="Z248" s="1"/>
      <c r="AA248" s="1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ht="15.75" customHeight="1">
      <c r="A249" s="1"/>
      <c r="B249" s="108"/>
      <c r="C249" s="108"/>
      <c r="D249" s="151"/>
      <c r="E249" s="109"/>
      <c r="F249" s="108"/>
      <c r="G249" s="109"/>
      <c r="H249" s="109"/>
      <c r="I249" s="108"/>
      <c r="J249" s="1"/>
      <c r="K249" s="1"/>
      <c r="L249" s="1"/>
      <c r="M249" s="113"/>
      <c r="N249" s="113"/>
      <c r="O249" s="1"/>
      <c r="P249" s="113"/>
      <c r="Q249" s="1"/>
      <c r="R249" s="1"/>
      <c r="S249" s="84"/>
      <c r="T249" s="84"/>
      <c r="U249" s="1"/>
      <c r="V249" s="1"/>
      <c r="W249" s="1"/>
      <c r="X249" s="1"/>
      <c r="Y249" s="1"/>
      <c r="Z249" s="1"/>
      <c r="AA249" s="1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ht="15.75" customHeight="1">
      <c r="A250" s="1"/>
      <c r="B250" s="108"/>
      <c r="C250" s="108"/>
      <c r="D250" s="151"/>
      <c r="E250" s="109"/>
      <c r="F250" s="108"/>
      <c r="G250" s="109"/>
      <c r="H250" s="109"/>
      <c r="I250" s="108"/>
      <c r="J250" s="1"/>
      <c r="K250" s="1"/>
      <c r="L250" s="1"/>
      <c r="M250" s="111"/>
      <c r="N250" s="111"/>
      <c r="O250" s="55"/>
      <c r="P250" s="111"/>
      <c r="Q250" s="1"/>
      <c r="R250" s="1"/>
      <c r="S250" s="84"/>
      <c r="T250" s="84"/>
      <c r="U250" s="1"/>
      <c r="V250" s="1"/>
      <c r="W250" s="1"/>
      <c r="X250" s="1"/>
      <c r="Y250" s="1"/>
      <c r="Z250" s="1"/>
      <c r="AA250" s="1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ht="15.75" customHeight="1">
      <c r="A251" s="1"/>
      <c r="B251" s="108"/>
      <c r="C251" s="108"/>
      <c r="D251" s="151"/>
      <c r="E251" s="109"/>
      <c r="F251" s="108"/>
      <c r="G251" s="109"/>
      <c r="H251" s="109"/>
      <c r="I251" s="108"/>
      <c r="J251" s="1"/>
      <c r="K251" s="1"/>
      <c r="L251" s="1"/>
      <c r="M251" s="111"/>
      <c r="N251" s="111"/>
      <c r="O251" s="55"/>
      <c r="P251" s="111"/>
      <c r="Q251" s="1"/>
      <c r="R251" s="1"/>
      <c r="S251" s="84"/>
      <c r="T251" s="84"/>
      <c r="U251" s="1"/>
      <c r="V251" s="1"/>
      <c r="W251" s="1"/>
      <c r="X251" s="1"/>
      <c r="Y251" s="1"/>
      <c r="Z251" s="1"/>
      <c r="AA251" s="1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ht="15.75" customHeight="1">
      <c r="A252" s="1"/>
      <c r="B252" s="108"/>
      <c r="C252" s="108"/>
      <c r="D252" s="151"/>
      <c r="E252" s="109"/>
      <c r="F252" s="108"/>
      <c r="G252" s="109"/>
      <c r="H252" s="109"/>
      <c r="I252" s="108"/>
      <c r="J252" s="1"/>
      <c r="K252" s="1"/>
      <c r="L252" s="1"/>
      <c r="M252" s="111"/>
      <c r="N252" s="111"/>
      <c r="O252" s="55"/>
      <c r="P252" s="111"/>
      <c r="Q252" s="1"/>
      <c r="R252" s="1"/>
      <c r="S252" s="84"/>
      <c r="T252" s="84"/>
      <c r="U252" s="1"/>
      <c r="V252" s="1"/>
      <c r="W252" s="1"/>
      <c r="X252" s="1"/>
      <c r="Y252" s="1"/>
      <c r="Z252" s="1"/>
      <c r="AA252" s="1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ht="15.75" customHeight="1">
      <c r="A253" s="1"/>
      <c r="B253" s="108"/>
      <c r="C253" s="108"/>
      <c r="D253" s="151"/>
      <c r="E253" s="109"/>
      <c r="F253" s="108"/>
      <c r="G253" s="109"/>
      <c r="H253" s="109"/>
      <c r="I253" s="108"/>
      <c r="J253" s="1"/>
      <c r="K253" s="1"/>
      <c r="L253" s="1"/>
      <c r="M253" s="111"/>
      <c r="N253" s="111"/>
      <c r="O253" s="55"/>
      <c r="P253" s="111"/>
      <c r="Q253" s="1"/>
      <c r="R253" s="1"/>
      <c r="S253" s="84"/>
      <c r="T253" s="84"/>
      <c r="U253" s="1"/>
      <c r="V253" s="1"/>
      <c r="W253" s="1"/>
      <c r="X253" s="1"/>
      <c r="Y253" s="1"/>
      <c r="Z253" s="1"/>
      <c r="AA253" s="1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ht="15.75" customHeight="1">
      <c r="A254" s="1"/>
      <c r="B254" s="108"/>
      <c r="C254" s="108"/>
      <c r="D254" s="151"/>
      <c r="E254" s="109"/>
      <c r="F254" s="108"/>
      <c r="G254" s="109"/>
      <c r="H254" s="109"/>
      <c r="I254" s="108"/>
      <c r="J254" s="1"/>
      <c r="K254" s="1"/>
      <c r="L254" s="1"/>
      <c r="M254" s="111"/>
      <c r="N254" s="111"/>
      <c r="O254" s="55"/>
      <c r="P254" s="111"/>
      <c r="Q254" s="1"/>
      <c r="R254" s="1"/>
      <c r="S254" s="84"/>
      <c r="T254" s="84"/>
      <c r="U254" s="1"/>
      <c r="V254" s="1"/>
      <c r="W254" s="1"/>
      <c r="X254" s="1"/>
      <c r="Y254" s="1"/>
      <c r="Z254" s="1"/>
      <c r="AA254" s="1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ht="15.75" customHeight="1">
      <c r="A255" s="1"/>
      <c r="B255" s="108"/>
      <c r="C255" s="108"/>
      <c r="D255" s="151"/>
      <c r="E255" s="109"/>
      <c r="F255" s="108"/>
      <c r="G255" s="109"/>
      <c r="H255" s="109"/>
      <c r="I255" s="108"/>
      <c r="J255" s="1"/>
      <c r="K255" s="1"/>
      <c r="L255" s="1"/>
      <c r="M255" s="111"/>
      <c r="N255" s="111"/>
      <c r="O255" s="55"/>
      <c r="P255" s="111"/>
      <c r="Q255" s="1"/>
      <c r="R255" s="1"/>
      <c r="S255" s="84"/>
      <c r="T255" s="84"/>
      <c r="U255" s="1"/>
      <c r="V255" s="1"/>
      <c r="W255" s="1"/>
      <c r="X255" s="1"/>
      <c r="Y255" s="1"/>
      <c r="Z255" s="1"/>
      <c r="AA255" s="1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ht="15.75" customHeight="1">
      <c r="A256" s="1"/>
      <c r="B256" s="108"/>
      <c r="C256" s="108"/>
      <c r="D256" s="151"/>
      <c r="E256" s="109"/>
      <c r="F256" s="108"/>
      <c r="G256" s="109"/>
      <c r="H256" s="109"/>
      <c r="I256" s="108"/>
      <c r="J256" s="1"/>
      <c r="K256" s="1"/>
      <c r="L256" s="1"/>
      <c r="M256" s="111"/>
      <c r="N256" s="111"/>
      <c r="O256" s="1"/>
      <c r="P256" s="111"/>
      <c r="Q256" s="1"/>
      <c r="R256" s="1"/>
      <c r="S256" s="84"/>
      <c r="T256" s="84"/>
      <c r="U256" s="1"/>
      <c r="V256" s="1"/>
      <c r="W256" s="1"/>
      <c r="X256" s="1"/>
      <c r="Y256" s="1"/>
      <c r="Z256" s="1"/>
      <c r="AA256" s="1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ht="15.75" customHeight="1">
      <c r="A257" s="1"/>
      <c r="B257" s="108"/>
      <c r="C257" s="108"/>
      <c r="D257" s="151"/>
      <c r="E257" s="109"/>
      <c r="F257" s="108"/>
      <c r="G257" s="109"/>
      <c r="H257" s="109"/>
      <c r="I257" s="108"/>
      <c r="J257" s="1"/>
      <c r="K257" s="1"/>
      <c r="L257" s="1"/>
      <c r="M257" s="111"/>
      <c r="N257" s="111"/>
      <c r="O257" s="1"/>
      <c r="P257" s="111"/>
      <c r="Q257" s="1"/>
      <c r="R257" s="1"/>
      <c r="S257" s="84"/>
      <c r="T257" s="84"/>
      <c r="U257" s="1"/>
      <c r="V257" s="1"/>
      <c r="W257" s="1"/>
      <c r="X257" s="1"/>
      <c r="Y257" s="1"/>
      <c r="Z257" s="1"/>
      <c r="AA257" s="1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ht="15.75" customHeight="1">
      <c r="A258" s="1"/>
      <c r="B258" s="108"/>
      <c r="C258" s="108"/>
      <c r="D258" s="151"/>
      <c r="E258" s="109"/>
      <c r="F258" s="108"/>
      <c r="G258" s="109"/>
      <c r="H258" s="109"/>
      <c r="I258" s="108"/>
      <c r="J258" s="1"/>
      <c r="K258" s="1"/>
      <c r="L258" s="1"/>
      <c r="M258" s="111"/>
      <c r="N258" s="111"/>
      <c r="O258" s="1"/>
      <c r="P258" s="111"/>
      <c r="Q258" s="1"/>
      <c r="R258" s="1"/>
      <c r="S258" s="84"/>
      <c r="T258" s="84"/>
      <c r="U258" s="1"/>
      <c r="V258" s="1"/>
      <c r="W258" s="1"/>
      <c r="X258" s="1"/>
      <c r="Y258" s="1"/>
      <c r="Z258" s="1"/>
      <c r="AA258" s="1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ht="15.75" customHeight="1">
      <c r="A259" s="1"/>
      <c r="B259" s="108"/>
      <c r="C259" s="108"/>
      <c r="D259" s="151"/>
      <c r="E259" s="109"/>
      <c r="F259" s="108"/>
      <c r="G259" s="109"/>
      <c r="H259" s="109"/>
      <c r="I259" s="108"/>
      <c r="J259" s="1"/>
      <c r="K259" s="1"/>
      <c r="L259" s="1"/>
      <c r="M259" s="111"/>
      <c r="N259" s="111"/>
      <c r="O259" s="55"/>
      <c r="P259" s="111"/>
      <c r="Q259" s="1"/>
      <c r="R259" s="1"/>
      <c r="S259" s="84"/>
      <c r="T259" s="84"/>
      <c r="U259" s="1"/>
      <c r="V259" s="1"/>
      <c r="W259" s="1"/>
      <c r="X259" s="1"/>
      <c r="Y259" s="1"/>
      <c r="Z259" s="1"/>
      <c r="AA259" s="1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ht="15.75" customHeight="1">
      <c r="A260" s="1"/>
      <c r="B260" s="108"/>
      <c r="C260" s="108"/>
      <c r="D260" s="151"/>
      <c r="E260" s="109"/>
      <c r="F260" s="108"/>
      <c r="G260" s="109"/>
      <c r="H260" s="109"/>
      <c r="I260" s="108"/>
      <c r="J260" s="1"/>
      <c r="K260" s="1"/>
      <c r="L260" s="1"/>
      <c r="M260" s="111"/>
      <c r="N260" s="111"/>
      <c r="O260" s="55"/>
      <c r="P260" s="111"/>
      <c r="Q260" s="1"/>
      <c r="R260" s="1"/>
      <c r="S260" s="84"/>
      <c r="T260" s="84"/>
      <c r="U260" s="1"/>
      <c r="V260" s="1"/>
      <c r="W260" s="1"/>
      <c r="X260" s="1"/>
      <c r="Y260" s="1"/>
      <c r="Z260" s="1"/>
      <c r="AA260" s="1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ht="15.75" customHeight="1">
      <c r="A261" s="1"/>
      <c r="B261" s="108"/>
      <c r="C261" s="108"/>
      <c r="D261" s="151"/>
      <c r="E261" s="109"/>
      <c r="F261" s="108"/>
      <c r="G261" s="109"/>
      <c r="H261" s="109"/>
      <c r="I261" s="108"/>
      <c r="J261" s="1"/>
      <c r="K261" s="1"/>
      <c r="L261" s="1"/>
      <c r="M261" s="111"/>
      <c r="N261" s="111"/>
      <c r="O261" s="55"/>
      <c r="P261" s="111"/>
      <c r="Q261" s="1"/>
      <c r="R261" s="1"/>
      <c r="S261" s="84"/>
      <c r="T261" s="84"/>
      <c r="U261" s="1"/>
      <c r="V261" s="1"/>
      <c r="W261" s="1"/>
      <c r="X261" s="1"/>
      <c r="Y261" s="1"/>
      <c r="Z261" s="1"/>
      <c r="AA261" s="1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ht="15.75" customHeight="1">
      <c r="A262" s="1"/>
      <c r="B262" s="108"/>
      <c r="C262" s="108"/>
      <c r="D262" s="151"/>
      <c r="E262" s="109"/>
      <c r="F262" s="108"/>
      <c r="G262" s="109"/>
      <c r="H262" s="109"/>
      <c r="I262" s="108"/>
      <c r="J262" s="1"/>
      <c r="K262" s="1"/>
      <c r="L262" s="1"/>
      <c r="M262" s="111"/>
      <c r="N262" s="111"/>
      <c r="O262" s="55"/>
      <c r="P262" s="111"/>
      <c r="Q262" s="1"/>
      <c r="R262" s="1"/>
      <c r="S262" s="84"/>
      <c r="T262" s="84"/>
      <c r="U262" s="1"/>
      <c r="V262" s="1"/>
      <c r="W262" s="1"/>
      <c r="X262" s="1"/>
      <c r="Y262" s="1"/>
      <c r="Z262" s="1"/>
      <c r="AA262" s="1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ht="15.75" customHeight="1">
      <c r="A263" s="1"/>
      <c r="B263" s="108"/>
      <c r="C263" s="108"/>
      <c r="D263" s="151"/>
      <c r="E263" s="109"/>
      <c r="F263" s="108"/>
      <c r="G263" s="109"/>
      <c r="H263" s="109"/>
      <c r="I263" s="108"/>
      <c r="J263" s="1"/>
      <c r="K263" s="1"/>
      <c r="L263" s="1"/>
      <c r="M263" s="111"/>
      <c r="N263" s="111"/>
      <c r="O263" s="55"/>
      <c r="P263" s="111"/>
      <c r="Q263" s="1"/>
      <c r="R263" s="1"/>
      <c r="S263" s="84"/>
      <c r="T263" s="84"/>
      <c r="U263" s="1"/>
      <c r="V263" s="1"/>
      <c r="W263" s="1"/>
      <c r="X263" s="1"/>
      <c r="Y263" s="1"/>
      <c r="Z263" s="1"/>
      <c r="AA263" s="1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ht="15.75" customHeight="1">
      <c r="A264" s="1"/>
      <c r="B264" s="108"/>
      <c r="C264" s="108"/>
      <c r="D264" s="151"/>
      <c r="E264" s="109"/>
      <c r="F264" s="108"/>
      <c r="G264" s="109"/>
      <c r="H264" s="109"/>
      <c r="I264" s="108"/>
      <c r="J264" s="1"/>
      <c r="K264" s="1"/>
      <c r="L264" s="1"/>
      <c r="M264" s="111"/>
      <c r="N264" s="111"/>
      <c r="O264" s="1"/>
      <c r="P264" s="111"/>
      <c r="Q264" s="1"/>
      <c r="R264" s="1"/>
      <c r="S264" s="84"/>
      <c r="T264" s="84"/>
      <c r="U264" s="1"/>
      <c r="V264" s="1"/>
      <c r="W264" s="1"/>
      <c r="X264" s="1"/>
      <c r="Y264" s="1"/>
      <c r="Z264" s="1"/>
      <c r="AA264" s="1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ht="15.75" customHeight="1">
      <c r="A265" s="1"/>
      <c r="B265" s="108"/>
      <c r="C265" s="108"/>
      <c r="D265" s="151"/>
      <c r="E265" s="109"/>
      <c r="F265" s="108"/>
      <c r="G265" s="109"/>
      <c r="H265" s="109"/>
      <c r="I265" s="108"/>
      <c r="J265" s="1"/>
      <c r="K265" s="1"/>
      <c r="L265" s="1"/>
      <c r="M265" s="111"/>
      <c r="N265" s="111"/>
      <c r="O265" s="1"/>
      <c r="P265" s="111"/>
      <c r="Q265" s="1"/>
      <c r="R265" s="1"/>
      <c r="S265" s="84"/>
      <c r="T265" s="84"/>
      <c r="U265" s="1"/>
      <c r="V265" s="1"/>
      <c r="W265" s="1"/>
      <c r="X265" s="1"/>
      <c r="Y265" s="1"/>
      <c r="Z265" s="1"/>
      <c r="AA265" s="1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ht="15.75" customHeight="1">
      <c r="A266" s="1"/>
      <c r="B266" s="108"/>
      <c r="C266" s="108"/>
      <c r="D266" s="151"/>
      <c r="E266" s="109"/>
      <c r="F266" s="108"/>
      <c r="G266" s="109"/>
      <c r="H266" s="109"/>
      <c r="I266" s="108"/>
      <c r="J266" s="1"/>
      <c r="K266" s="1"/>
      <c r="L266" s="1"/>
      <c r="M266" s="111"/>
      <c r="N266" s="111"/>
      <c r="O266" s="84"/>
      <c r="P266" s="111"/>
      <c r="Q266" s="84"/>
      <c r="R266" s="84"/>
      <c r="S266" s="84"/>
      <c r="T266" s="84"/>
      <c r="U266" s="1"/>
      <c r="V266" s="1"/>
      <c r="W266" s="1"/>
      <c r="X266" s="1"/>
      <c r="Y266" s="1"/>
      <c r="Z266" s="1"/>
      <c r="AA266" s="1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ht="15.75" customHeight="1">
      <c r="A267" s="1"/>
      <c r="B267" s="108"/>
      <c r="C267" s="108"/>
      <c r="D267" s="151"/>
      <c r="E267" s="109"/>
      <c r="F267" s="108"/>
      <c r="G267" s="108"/>
      <c r="H267" s="108"/>
      <c r="I267" s="108"/>
      <c r="J267" s="1"/>
      <c r="K267" s="1"/>
      <c r="L267" s="1"/>
      <c r="M267" s="111"/>
      <c r="N267" s="111"/>
      <c r="O267" s="55"/>
      <c r="P267" s="111"/>
      <c r="Q267" s="1"/>
      <c r="R267" s="1"/>
      <c r="S267" s="84"/>
      <c r="T267" s="84"/>
      <c r="U267" s="1"/>
      <c r="V267" s="1"/>
      <c r="W267" s="1"/>
      <c r="X267" s="1"/>
      <c r="Y267" s="1"/>
      <c r="Z267" s="1"/>
      <c r="AA267" s="1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ht="15.75" customHeight="1">
      <c r="A268" s="1"/>
      <c r="B268" s="108"/>
      <c r="C268" s="108"/>
      <c r="D268" s="151"/>
      <c r="E268" s="109"/>
      <c r="F268" s="108"/>
      <c r="G268" s="109"/>
      <c r="H268" s="109"/>
      <c r="I268" s="108"/>
      <c r="J268" s="1"/>
      <c r="K268" s="1"/>
      <c r="L268" s="1"/>
      <c r="M268" s="111"/>
      <c r="N268" s="111"/>
      <c r="O268" s="55"/>
      <c r="P268" s="111"/>
      <c r="Q268" s="1"/>
      <c r="R268" s="1"/>
      <c r="S268" s="84"/>
      <c r="T268" s="84"/>
      <c r="U268" s="1"/>
      <c r="V268" s="1"/>
      <c r="W268" s="1"/>
      <c r="X268" s="1"/>
      <c r="Y268" s="1"/>
      <c r="Z268" s="1"/>
      <c r="AA268" s="1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ht="15.75" customHeight="1">
      <c r="A269" s="1"/>
      <c r="B269" s="108"/>
      <c r="C269" s="108"/>
      <c r="D269" s="151"/>
      <c r="E269" s="109"/>
      <c r="F269" s="108"/>
      <c r="G269" s="109"/>
      <c r="H269" s="109"/>
      <c r="I269" s="108"/>
      <c r="J269" s="1"/>
      <c r="K269" s="1"/>
      <c r="L269" s="1"/>
      <c r="M269" s="111"/>
      <c r="N269" s="111"/>
      <c r="O269" s="55"/>
      <c r="P269" s="111"/>
      <c r="Q269" s="1"/>
      <c r="R269" s="1"/>
      <c r="S269" s="84"/>
      <c r="T269" s="84"/>
      <c r="U269" s="1"/>
      <c r="V269" s="1"/>
      <c r="W269" s="1"/>
      <c r="X269" s="1"/>
      <c r="Y269" s="1"/>
      <c r="Z269" s="1"/>
      <c r="AA269" s="1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ht="15.75" customHeight="1">
      <c r="A270" s="1"/>
      <c r="B270" s="108"/>
      <c r="C270" s="108"/>
      <c r="D270" s="151"/>
      <c r="E270" s="109"/>
      <c r="F270" s="108"/>
      <c r="G270" s="109"/>
      <c r="H270" s="109"/>
      <c r="I270" s="108"/>
      <c r="J270" s="1"/>
      <c r="K270" s="1"/>
      <c r="L270" s="1"/>
      <c r="M270" s="111"/>
      <c r="N270" s="111"/>
      <c r="O270" s="55"/>
      <c r="P270" s="111"/>
      <c r="Q270" s="1"/>
      <c r="R270" s="1"/>
      <c r="S270" s="84"/>
      <c r="T270" s="84"/>
      <c r="U270" s="1"/>
      <c r="V270" s="1"/>
      <c r="W270" s="1"/>
      <c r="X270" s="1"/>
      <c r="Y270" s="1"/>
      <c r="Z270" s="1"/>
      <c r="AA270" s="1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ht="15.75" customHeight="1">
      <c r="A271" s="1"/>
      <c r="B271" s="108"/>
      <c r="C271" s="108"/>
      <c r="D271" s="151"/>
      <c r="E271" s="109"/>
      <c r="F271" s="108"/>
      <c r="G271" s="109"/>
      <c r="H271" s="109"/>
      <c r="I271" s="108"/>
      <c r="J271" s="1"/>
      <c r="K271" s="1"/>
      <c r="L271" s="1"/>
      <c r="M271" s="111"/>
      <c r="N271" s="111"/>
      <c r="O271" s="55"/>
      <c r="P271" s="111"/>
      <c r="Q271" s="1"/>
      <c r="R271" s="1"/>
      <c r="S271" s="84"/>
      <c r="T271" s="84"/>
      <c r="U271" s="1"/>
      <c r="V271" s="1"/>
      <c r="W271" s="1"/>
      <c r="X271" s="1"/>
      <c r="Y271" s="1"/>
      <c r="Z271" s="1"/>
      <c r="AA271" s="1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ht="15.75" customHeight="1">
      <c r="A272" s="1"/>
      <c r="B272" s="108"/>
      <c r="C272" s="108"/>
      <c r="D272" s="151"/>
      <c r="E272" s="109"/>
      <c r="F272" s="108"/>
      <c r="G272" s="109"/>
      <c r="H272" s="109"/>
      <c r="I272" s="108"/>
      <c r="J272" s="1"/>
      <c r="K272" s="1"/>
      <c r="L272" s="1"/>
      <c r="M272" s="111"/>
      <c r="N272" s="111"/>
      <c r="O272" s="1"/>
      <c r="P272" s="111"/>
      <c r="Q272" s="1"/>
      <c r="R272" s="1"/>
      <c r="S272" s="84"/>
      <c r="T272" s="84"/>
      <c r="U272" s="1"/>
      <c r="V272" s="1"/>
      <c r="W272" s="1"/>
      <c r="X272" s="1"/>
      <c r="Y272" s="1"/>
      <c r="Z272" s="1"/>
      <c r="AA272" s="1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ht="15.75" customHeight="1">
      <c r="A273" s="1"/>
      <c r="B273" s="108"/>
      <c r="C273" s="108"/>
      <c r="D273" s="151"/>
      <c r="E273" s="109"/>
      <c r="F273" s="108"/>
      <c r="G273" s="109"/>
      <c r="H273" s="109"/>
      <c r="I273" s="108"/>
      <c r="J273" s="1"/>
      <c r="K273" s="1"/>
      <c r="L273" s="1"/>
      <c r="M273" s="111"/>
      <c r="N273" s="111"/>
      <c r="O273" s="1"/>
      <c r="P273" s="111"/>
      <c r="Q273" s="1"/>
      <c r="R273" s="1"/>
      <c r="S273" s="84"/>
      <c r="T273" s="84"/>
      <c r="U273" s="1"/>
      <c r="V273" s="1"/>
      <c r="W273" s="1"/>
      <c r="X273" s="1"/>
      <c r="Y273" s="1"/>
      <c r="Z273" s="1"/>
      <c r="AA273" s="1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ht="15.75" customHeight="1">
      <c r="A274" s="1"/>
      <c r="B274" s="108"/>
      <c r="C274" s="108"/>
      <c r="D274" s="151"/>
      <c r="E274" s="109"/>
      <c r="F274" s="108"/>
      <c r="G274" s="109"/>
      <c r="H274" s="109"/>
      <c r="I274" s="108"/>
      <c r="J274" s="1"/>
      <c r="K274" s="1"/>
      <c r="L274" s="1"/>
      <c r="M274" s="111"/>
      <c r="N274" s="111"/>
      <c r="O274" s="1"/>
      <c r="P274" s="111"/>
      <c r="Q274" s="1"/>
      <c r="R274" s="1"/>
      <c r="S274" s="84"/>
      <c r="T274" s="84"/>
      <c r="U274" s="1"/>
      <c r="V274" s="1"/>
      <c r="W274" s="1"/>
      <c r="X274" s="1"/>
      <c r="Y274" s="1"/>
      <c r="Z274" s="1"/>
      <c r="AA274" s="1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ht="15.75" customHeight="1">
      <c r="A275" s="1"/>
      <c r="B275" s="108"/>
      <c r="C275" s="108"/>
      <c r="D275" s="151"/>
      <c r="E275" s="109"/>
      <c r="F275" s="108"/>
      <c r="G275" s="109"/>
      <c r="H275" s="109"/>
      <c r="I275" s="108"/>
      <c r="J275" s="1"/>
      <c r="K275" s="1"/>
      <c r="L275" s="1"/>
      <c r="M275" s="111"/>
      <c r="N275" s="111"/>
      <c r="O275" s="55"/>
      <c r="P275" s="111"/>
      <c r="Q275" s="1"/>
      <c r="R275" s="1"/>
      <c r="S275" s="84"/>
      <c r="T275" s="84"/>
      <c r="U275" s="1"/>
      <c r="V275" s="1"/>
      <c r="W275" s="1"/>
      <c r="X275" s="1"/>
      <c r="Y275" s="1"/>
      <c r="Z275" s="1"/>
      <c r="AA275" s="1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ht="15.75" customHeight="1">
      <c r="A276" s="1"/>
      <c r="B276" s="108"/>
      <c r="C276" s="108"/>
      <c r="D276" s="151"/>
      <c r="E276" s="109"/>
      <c r="F276" s="108"/>
      <c r="G276" s="109"/>
      <c r="H276" s="109"/>
      <c r="I276" s="108"/>
      <c r="J276" s="1"/>
      <c r="K276" s="1"/>
      <c r="L276" s="1"/>
      <c r="M276" s="111"/>
      <c r="N276" s="111"/>
      <c r="O276" s="55"/>
      <c r="P276" s="111"/>
      <c r="Q276" s="1"/>
      <c r="R276" s="1"/>
      <c r="S276" s="84"/>
      <c r="T276" s="84"/>
      <c r="U276" s="1"/>
      <c r="V276" s="1"/>
      <c r="W276" s="1"/>
      <c r="X276" s="1"/>
      <c r="Y276" s="1"/>
      <c r="Z276" s="1"/>
      <c r="AA276" s="1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ht="15.75" customHeight="1">
      <c r="A277" s="1"/>
      <c r="B277" s="108"/>
      <c r="C277" s="108"/>
      <c r="D277" s="151"/>
      <c r="E277" s="109"/>
      <c r="F277" s="108"/>
      <c r="G277" s="109"/>
      <c r="H277" s="109"/>
      <c r="I277" s="108"/>
      <c r="J277" s="1"/>
      <c r="K277" s="1"/>
      <c r="L277" s="1"/>
      <c r="M277" s="111"/>
      <c r="N277" s="111"/>
      <c r="O277" s="55"/>
      <c r="P277" s="111"/>
      <c r="Q277" s="1"/>
      <c r="R277" s="1"/>
      <c r="S277" s="84"/>
      <c r="T277" s="84"/>
      <c r="U277" s="1"/>
      <c r="V277" s="1"/>
      <c r="W277" s="1"/>
      <c r="X277" s="1"/>
      <c r="Y277" s="1"/>
      <c r="Z277" s="1"/>
      <c r="AA277" s="1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ht="15.75" customHeight="1">
      <c r="A278" s="1"/>
      <c r="B278" s="108"/>
      <c r="C278" s="108"/>
      <c r="D278" s="151"/>
      <c r="E278" s="109"/>
      <c r="F278" s="108"/>
      <c r="G278" s="109"/>
      <c r="H278" s="109"/>
      <c r="I278" s="108"/>
      <c r="J278" s="1"/>
      <c r="K278" s="1"/>
      <c r="L278" s="1"/>
      <c r="M278" s="111"/>
      <c r="N278" s="111"/>
      <c r="O278" s="55"/>
      <c r="P278" s="111"/>
      <c r="Q278" s="1"/>
      <c r="R278" s="1"/>
      <c r="S278" s="84"/>
      <c r="T278" s="84"/>
      <c r="U278" s="1"/>
      <c r="V278" s="1"/>
      <c r="W278" s="1"/>
      <c r="X278" s="1"/>
      <c r="Y278" s="1"/>
      <c r="Z278" s="1"/>
      <c r="AA278" s="1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ht="15.75" customHeight="1">
      <c r="A279" s="1"/>
      <c r="B279" s="108"/>
      <c r="C279" s="108"/>
      <c r="D279" s="151"/>
      <c r="E279" s="109"/>
      <c r="F279" s="108"/>
      <c r="G279" s="109"/>
      <c r="H279" s="109"/>
      <c r="I279" s="108"/>
      <c r="J279" s="1"/>
      <c r="K279" s="1"/>
      <c r="L279" s="1"/>
      <c r="M279" s="111"/>
      <c r="N279" s="111"/>
      <c r="O279" s="55"/>
      <c r="P279" s="111"/>
      <c r="Q279" s="1"/>
      <c r="R279" s="1"/>
      <c r="S279" s="84"/>
      <c r="T279" s="84"/>
      <c r="U279" s="1"/>
      <c r="V279" s="1"/>
      <c r="W279" s="1"/>
      <c r="X279" s="1"/>
      <c r="Y279" s="1"/>
      <c r="Z279" s="1"/>
      <c r="AA279" s="1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ht="15.75" customHeight="1">
      <c r="A280" s="1"/>
      <c r="B280" s="108"/>
      <c r="C280" s="108"/>
      <c r="D280" s="151"/>
      <c r="E280" s="109"/>
      <c r="F280" s="108"/>
      <c r="G280" s="109"/>
      <c r="H280" s="109"/>
      <c r="I280" s="108"/>
      <c r="J280" s="1"/>
      <c r="K280" s="1"/>
      <c r="L280" s="1"/>
      <c r="M280" s="111"/>
      <c r="N280" s="111"/>
      <c r="O280" s="55"/>
      <c r="P280" s="111"/>
      <c r="Q280" s="1"/>
      <c r="R280" s="1"/>
      <c r="S280" s="84"/>
      <c r="T280" s="84"/>
      <c r="U280" s="1"/>
      <c r="V280" s="1"/>
      <c r="W280" s="1"/>
      <c r="X280" s="1"/>
      <c r="Y280" s="1"/>
      <c r="Z280" s="1"/>
      <c r="AA280" s="1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ht="15.75" customHeight="1">
      <c r="A281" s="1"/>
      <c r="B281" s="108"/>
      <c r="C281" s="108"/>
      <c r="D281" s="151"/>
      <c r="E281" s="109"/>
      <c r="F281" s="108"/>
      <c r="G281" s="109"/>
      <c r="H281" s="109"/>
      <c r="I281" s="108"/>
      <c r="J281" s="1"/>
      <c r="K281" s="1"/>
      <c r="L281" s="1"/>
      <c r="M281" s="111"/>
      <c r="N281" s="111"/>
      <c r="O281" s="55"/>
      <c r="P281" s="111"/>
      <c r="Q281" s="1"/>
      <c r="R281" s="1"/>
      <c r="S281" s="84"/>
      <c r="T281" s="84"/>
      <c r="U281" s="1"/>
      <c r="V281" s="1"/>
      <c r="W281" s="1"/>
      <c r="X281" s="1"/>
      <c r="Y281" s="1"/>
      <c r="Z281" s="1"/>
      <c r="AA281" s="1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ht="15.75" customHeight="1">
      <c r="A282" s="1"/>
      <c r="B282" s="108"/>
      <c r="C282" s="108"/>
      <c r="D282" s="151"/>
      <c r="E282" s="109"/>
      <c r="F282" s="108"/>
      <c r="G282" s="109"/>
      <c r="H282" s="109"/>
      <c r="I282" s="108"/>
      <c r="J282" s="1"/>
      <c r="K282" s="1"/>
      <c r="L282" s="1"/>
      <c r="M282" s="111"/>
      <c r="N282" s="111"/>
      <c r="O282" s="55"/>
      <c r="P282" s="111"/>
      <c r="Q282" s="1"/>
      <c r="R282" s="1"/>
      <c r="S282" s="84"/>
      <c r="T282" s="84"/>
      <c r="U282" s="1"/>
      <c r="V282" s="1"/>
      <c r="W282" s="1"/>
      <c r="X282" s="1"/>
      <c r="Y282" s="1"/>
      <c r="Z282" s="1"/>
      <c r="AA282" s="1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ht="15.75" customHeight="1">
      <c r="A283" s="1"/>
      <c r="B283" s="108"/>
      <c r="C283" s="108"/>
      <c r="D283" s="151"/>
      <c r="E283" s="109"/>
      <c r="F283" s="108"/>
      <c r="G283" s="109"/>
      <c r="H283" s="109"/>
      <c r="I283" s="108"/>
      <c r="J283" s="1"/>
      <c r="K283" s="1"/>
      <c r="L283" s="1"/>
      <c r="M283" s="111"/>
      <c r="N283" s="111"/>
      <c r="O283" s="55"/>
      <c r="P283" s="111"/>
      <c r="Q283" s="1"/>
      <c r="R283" s="1"/>
      <c r="S283" s="84"/>
      <c r="T283" s="84"/>
      <c r="U283" s="1"/>
      <c r="V283" s="1"/>
      <c r="W283" s="1"/>
      <c r="X283" s="1"/>
      <c r="Y283" s="1"/>
      <c r="Z283" s="1"/>
      <c r="AA283" s="1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ht="15.75" customHeight="1">
      <c r="A284" s="1"/>
      <c r="B284" s="108"/>
      <c r="C284" s="108"/>
      <c r="D284" s="151"/>
      <c r="E284" s="109"/>
      <c r="F284" s="108"/>
      <c r="G284" s="109"/>
      <c r="H284" s="109"/>
      <c r="I284" s="108"/>
      <c r="J284" s="1"/>
      <c r="K284" s="1"/>
      <c r="L284" s="1"/>
      <c r="M284" s="111"/>
      <c r="N284" s="111"/>
      <c r="O284" s="55"/>
      <c r="P284" s="111"/>
      <c r="Q284" s="1"/>
      <c r="R284" s="1"/>
      <c r="S284" s="84"/>
      <c r="T284" s="84"/>
      <c r="U284" s="1"/>
      <c r="V284" s="1"/>
      <c r="W284" s="1"/>
      <c r="X284" s="1"/>
      <c r="Y284" s="1"/>
      <c r="Z284" s="1"/>
      <c r="AA284" s="1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ht="15.75" customHeight="1">
      <c r="A285" s="1"/>
      <c r="B285" s="108"/>
      <c r="C285" s="108"/>
      <c r="D285" s="151"/>
      <c r="E285" s="109"/>
      <c r="F285" s="108"/>
      <c r="G285" s="109"/>
      <c r="H285" s="109"/>
      <c r="I285" s="108"/>
      <c r="J285" s="1"/>
      <c r="K285" s="1"/>
      <c r="L285" s="1"/>
      <c r="M285" s="111"/>
      <c r="N285" s="111"/>
      <c r="O285" s="1"/>
      <c r="P285" s="111"/>
      <c r="Q285" s="1"/>
      <c r="R285" s="1"/>
      <c r="S285" s="84"/>
      <c r="T285" s="84"/>
      <c r="U285" s="1"/>
      <c r="V285" s="1"/>
      <c r="W285" s="1"/>
      <c r="X285" s="1"/>
      <c r="Y285" s="1"/>
      <c r="Z285" s="1"/>
      <c r="AA285" s="1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ht="15.75" customHeight="1">
      <c r="A286" s="1"/>
      <c r="B286" s="108"/>
      <c r="C286" s="108"/>
      <c r="D286" s="151"/>
      <c r="E286" s="109"/>
      <c r="F286" s="108"/>
      <c r="G286" s="109"/>
      <c r="H286" s="109"/>
      <c r="I286" s="108"/>
      <c r="J286" s="1"/>
      <c r="K286" s="1"/>
      <c r="L286" s="1"/>
      <c r="M286" s="111"/>
      <c r="N286" s="111"/>
      <c r="O286" s="1"/>
      <c r="P286" s="111"/>
      <c r="Q286" s="1"/>
      <c r="R286" s="1"/>
      <c r="S286" s="84"/>
      <c r="T286" s="84"/>
      <c r="U286" s="1"/>
      <c r="V286" s="1"/>
      <c r="W286" s="1"/>
      <c r="X286" s="1"/>
      <c r="Y286" s="1"/>
      <c r="Z286" s="1"/>
      <c r="AA286" s="1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ht="15.75" customHeight="1">
      <c r="A287" s="1"/>
      <c r="B287" s="108"/>
      <c r="C287" s="108"/>
      <c r="D287" s="151"/>
      <c r="E287" s="109"/>
      <c r="F287" s="108"/>
      <c r="G287" s="109"/>
      <c r="H287" s="109"/>
      <c r="I287" s="108"/>
      <c r="J287" s="1"/>
      <c r="K287" s="1"/>
      <c r="L287" s="1"/>
      <c r="M287" s="111"/>
      <c r="N287" s="111"/>
      <c r="O287" s="1"/>
      <c r="P287" s="111"/>
      <c r="Q287" s="1"/>
      <c r="R287" s="1"/>
      <c r="S287" s="84"/>
      <c r="T287" s="84"/>
      <c r="U287" s="1"/>
      <c r="V287" s="1"/>
      <c r="W287" s="1"/>
      <c r="X287" s="1"/>
      <c r="Y287" s="1"/>
      <c r="Z287" s="1"/>
      <c r="AA287" s="1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ht="15.75" customHeight="1">
      <c r="A288" s="1"/>
      <c r="B288" s="108"/>
      <c r="C288" s="108"/>
      <c r="D288" s="151"/>
      <c r="E288" s="109"/>
      <c r="F288" s="108"/>
      <c r="G288" s="109"/>
      <c r="H288" s="109"/>
      <c r="I288" s="108"/>
      <c r="J288" s="1"/>
      <c r="K288" s="1"/>
      <c r="L288" s="1"/>
      <c r="M288" s="111"/>
      <c r="N288" s="111"/>
      <c r="O288" s="55"/>
      <c r="P288" s="111"/>
      <c r="Q288" s="1"/>
      <c r="R288" s="1"/>
      <c r="S288" s="84"/>
      <c r="T288" s="84"/>
      <c r="U288" s="1"/>
      <c r="V288" s="1"/>
      <c r="W288" s="1"/>
      <c r="X288" s="1"/>
      <c r="Y288" s="1"/>
      <c r="Z288" s="1"/>
      <c r="AA288" s="1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ht="15.75" customHeight="1">
      <c r="A289" s="1"/>
      <c r="B289" s="108"/>
      <c r="C289" s="108"/>
      <c r="D289" s="151"/>
      <c r="E289" s="109"/>
      <c r="F289" s="108"/>
      <c r="G289" s="109"/>
      <c r="H289" s="109"/>
      <c r="I289" s="108"/>
      <c r="J289" s="1"/>
      <c r="K289" s="1"/>
      <c r="L289" s="1"/>
      <c r="M289" s="111"/>
      <c r="N289" s="111"/>
      <c r="O289" s="55"/>
      <c r="P289" s="111"/>
      <c r="Q289" s="1"/>
      <c r="R289" s="1"/>
      <c r="S289" s="84"/>
      <c r="T289" s="84"/>
      <c r="U289" s="1"/>
      <c r="V289" s="1"/>
      <c r="W289" s="1"/>
      <c r="X289" s="1"/>
      <c r="Y289" s="1"/>
      <c r="Z289" s="1"/>
      <c r="AA289" s="1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ht="15.75" customHeight="1">
      <c r="A290" s="1"/>
      <c r="B290" s="108"/>
      <c r="C290" s="108"/>
      <c r="D290" s="151"/>
      <c r="E290" s="109"/>
      <c r="F290" s="108"/>
      <c r="G290" s="109"/>
      <c r="H290" s="109"/>
      <c r="I290" s="108"/>
      <c r="J290" s="1"/>
      <c r="K290" s="1"/>
      <c r="L290" s="1"/>
      <c r="M290" s="111"/>
      <c r="N290" s="111"/>
      <c r="O290" s="55"/>
      <c r="P290" s="111"/>
      <c r="Q290" s="1"/>
      <c r="R290" s="1"/>
      <c r="S290" s="84"/>
      <c r="T290" s="84"/>
      <c r="U290" s="1"/>
      <c r="V290" s="1"/>
      <c r="W290" s="1"/>
      <c r="X290" s="1"/>
      <c r="Y290" s="1"/>
      <c r="Z290" s="1"/>
      <c r="AA290" s="1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ht="15.75" customHeight="1">
      <c r="A291" s="1"/>
      <c r="B291" s="108"/>
      <c r="C291" s="108"/>
      <c r="D291" s="151"/>
      <c r="E291" s="109"/>
      <c r="F291" s="108"/>
      <c r="G291" s="109"/>
      <c r="H291" s="109"/>
      <c r="I291" s="108"/>
      <c r="J291" s="1"/>
      <c r="K291" s="1"/>
      <c r="L291" s="1"/>
      <c r="M291" s="111"/>
      <c r="N291" s="111"/>
      <c r="O291" s="55"/>
      <c r="P291" s="111"/>
      <c r="Q291" s="1"/>
      <c r="R291" s="1"/>
      <c r="S291" s="84"/>
      <c r="T291" s="84"/>
      <c r="U291" s="1"/>
      <c r="V291" s="1"/>
      <c r="W291" s="1"/>
      <c r="X291" s="1"/>
      <c r="Y291" s="1"/>
      <c r="Z291" s="1"/>
      <c r="AA291" s="1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ht="15.75" customHeight="1">
      <c r="A292" s="1"/>
      <c r="B292" s="108"/>
      <c r="C292" s="108"/>
      <c r="D292" s="151"/>
      <c r="E292" s="109"/>
      <c r="F292" s="108"/>
      <c r="G292" s="109"/>
      <c r="H292" s="109"/>
      <c r="I292" s="108"/>
      <c r="J292" s="1"/>
      <c r="K292" s="1"/>
      <c r="L292" s="1"/>
      <c r="M292" s="111"/>
      <c r="N292" s="111"/>
      <c r="O292" s="55"/>
      <c r="P292" s="111"/>
      <c r="Q292" s="1"/>
      <c r="R292" s="1"/>
      <c r="S292" s="84"/>
      <c r="T292" s="84"/>
      <c r="U292" s="1"/>
      <c r="V292" s="1"/>
      <c r="W292" s="1"/>
      <c r="X292" s="1"/>
      <c r="Y292" s="1"/>
      <c r="Z292" s="1"/>
      <c r="AA292" s="1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ht="15.75" customHeight="1">
      <c r="A293" s="1"/>
      <c r="B293" s="108"/>
      <c r="C293" s="108"/>
      <c r="D293" s="151"/>
      <c r="E293" s="109"/>
      <c r="F293" s="108"/>
      <c r="G293" s="109"/>
      <c r="H293" s="109"/>
      <c r="I293" s="108"/>
      <c r="J293" s="1"/>
      <c r="K293" s="1"/>
      <c r="L293" s="1"/>
      <c r="M293" s="111"/>
      <c r="N293" s="111"/>
      <c r="O293" s="55"/>
      <c r="P293" s="111"/>
      <c r="Q293" s="1"/>
      <c r="R293" s="1"/>
      <c r="S293" s="84"/>
      <c r="T293" s="84"/>
      <c r="U293" s="1"/>
      <c r="V293" s="1"/>
      <c r="W293" s="1"/>
      <c r="X293" s="1"/>
      <c r="Y293" s="1"/>
      <c r="Z293" s="1"/>
      <c r="AA293" s="1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ht="15.75" customHeight="1">
      <c r="A294" s="1"/>
      <c r="B294" s="108"/>
      <c r="C294" s="108"/>
      <c r="D294" s="151"/>
      <c r="E294" s="109"/>
      <c r="F294" s="108"/>
      <c r="G294" s="109"/>
      <c r="H294" s="109"/>
      <c r="I294" s="108"/>
      <c r="J294" s="1"/>
      <c r="K294" s="1"/>
      <c r="L294" s="1"/>
      <c r="M294" s="111"/>
      <c r="N294" s="111"/>
      <c r="O294" s="55"/>
      <c r="P294" s="111"/>
      <c r="Q294" s="1"/>
      <c r="R294" s="1"/>
      <c r="S294" s="84"/>
      <c r="T294" s="84"/>
      <c r="U294" s="1"/>
      <c r="V294" s="1"/>
      <c r="W294" s="1"/>
      <c r="X294" s="1"/>
      <c r="Y294" s="1"/>
      <c r="Z294" s="1"/>
      <c r="AA294" s="1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ht="15.75" customHeight="1">
      <c r="A295" s="1"/>
      <c r="B295" s="108"/>
      <c r="C295" s="108"/>
      <c r="D295" s="151"/>
      <c r="E295" s="109"/>
      <c r="F295" s="108"/>
      <c r="G295" s="109"/>
      <c r="H295" s="109"/>
      <c r="I295" s="108"/>
      <c r="J295" s="1"/>
      <c r="K295" s="1"/>
      <c r="L295" s="1"/>
      <c r="M295" s="111"/>
      <c r="N295" s="111"/>
      <c r="O295" s="55"/>
      <c r="P295" s="111"/>
      <c r="Q295" s="1"/>
      <c r="R295" s="1"/>
      <c r="S295" s="84"/>
      <c r="T295" s="84"/>
      <c r="U295" s="1"/>
      <c r="V295" s="1"/>
      <c r="W295" s="1"/>
      <c r="X295" s="1"/>
      <c r="Y295" s="1"/>
      <c r="Z295" s="1"/>
      <c r="AA295" s="1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ht="15.75" customHeight="1">
      <c r="A296" s="1"/>
      <c r="B296" s="108"/>
      <c r="C296" s="108"/>
      <c r="D296" s="151"/>
      <c r="E296" s="109"/>
      <c r="F296" s="108"/>
      <c r="G296" s="109"/>
      <c r="H296" s="109"/>
      <c r="I296" s="108"/>
      <c r="J296" s="1"/>
      <c r="K296" s="1"/>
      <c r="L296" s="1"/>
      <c r="M296" s="111"/>
      <c r="N296" s="111"/>
      <c r="O296" s="1"/>
      <c r="P296" s="111"/>
      <c r="Q296" s="1"/>
      <c r="R296" s="1"/>
      <c r="S296" s="84"/>
      <c r="T296" s="84"/>
      <c r="U296" s="1"/>
      <c r="V296" s="1"/>
      <c r="W296" s="1"/>
      <c r="X296" s="1"/>
      <c r="Y296" s="1"/>
      <c r="Z296" s="1"/>
      <c r="AA296" s="1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ht="15.75" customHeight="1">
      <c r="A297" s="1"/>
      <c r="B297" s="108"/>
      <c r="C297" s="108"/>
      <c r="D297" s="151"/>
      <c r="E297" s="109"/>
      <c r="F297" s="108"/>
      <c r="G297" s="109"/>
      <c r="H297" s="109"/>
      <c r="I297" s="108"/>
      <c r="J297" s="1"/>
      <c r="K297" s="1"/>
      <c r="L297" s="1"/>
      <c r="M297" s="111"/>
      <c r="N297" s="111"/>
      <c r="O297" s="1"/>
      <c r="P297" s="111"/>
      <c r="Q297" s="1"/>
      <c r="R297" s="1"/>
      <c r="S297" s="84"/>
      <c r="T297" s="84"/>
      <c r="U297" s="1"/>
      <c r="V297" s="1"/>
      <c r="W297" s="1"/>
      <c r="X297" s="1"/>
      <c r="Y297" s="1"/>
      <c r="Z297" s="1"/>
      <c r="AA297" s="1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ht="15.75" customHeight="1">
      <c r="A298" s="1"/>
      <c r="B298" s="108"/>
      <c r="C298" s="108"/>
      <c r="D298" s="151"/>
      <c r="E298" s="109"/>
      <c r="F298" s="108"/>
      <c r="G298" s="109"/>
      <c r="H298" s="109"/>
      <c r="I298" s="108"/>
      <c r="J298" s="1"/>
      <c r="K298" s="1"/>
      <c r="L298" s="1"/>
      <c r="M298" s="111"/>
      <c r="N298" s="111"/>
      <c r="O298" s="1"/>
      <c r="P298" s="111"/>
      <c r="Q298" s="1"/>
      <c r="R298" s="1"/>
      <c r="S298" s="84"/>
      <c r="T298" s="84"/>
      <c r="U298" s="1"/>
      <c r="V298" s="1"/>
      <c r="W298" s="1"/>
      <c r="X298" s="1"/>
      <c r="Y298" s="1"/>
      <c r="Z298" s="1"/>
      <c r="AA298" s="1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ht="15.75" customHeight="1">
      <c r="A299" s="1"/>
      <c r="B299" s="108"/>
      <c r="C299" s="108"/>
      <c r="D299" s="151"/>
      <c r="E299" s="109"/>
      <c r="F299" s="108"/>
      <c r="G299" s="109"/>
      <c r="H299" s="109"/>
      <c r="I299" s="108"/>
      <c r="J299" s="1"/>
      <c r="K299" s="1"/>
      <c r="L299" s="1"/>
      <c r="M299" s="111"/>
      <c r="N299" s="111"/>
      <c r="O299" s="55"/>
      <c r="P299" s="111"/>
      <c r="Q299" s="1"/>
      <c r="R299" s="1"/>
      <c r="S299" s="84"/>
      <c r="T299" s="84"/>
      <c r="U299" s="1"/>
      <c r="V299" s="1"/>
      <c r="W299" s="1"/>
      <c r="X299" s="1"/>
      <c r="Y299" s="1"/>
      <c r="Z299" s="1"/>
      <c r="AA299" s="1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ht="15.75" customHeight="1">
      <c r="A300" s="1"/>
      <c r="B300" s="108"/>
      <c r="C300" s="108"/>
      <c r="D300" s="151"/>
      <c r="E300" s="109"/>
      <c r="F300" s="108"/>
      <c r="G300" s="109"/>
      <c r="H300" s="109"/>
      <c r="I300" s="108"/>
      <c r="J300" s="1"/>
      <c r="K300" s="1"/>
      <c r="L300" s="1"/>
      <c r="M300" s="111"/>
      <c r="N300" s="111"/>
      <c r="O300" s="55"/>
      <c r="P300" s="111"/>
      <c r="Q300" s="1"/>
      <c r="R300" s="1"/>
      <c r="S300" s="84"/>
      <c r="T300" s="84"/>
      <c r="U300" s="1"/>
      <c r="V300" s="1"/>
      <c r="W300" s="1"/>
      <c r="X300" s="1"/>
      <c r="Y300" s="1"/>
      <c r="Z300" s="1"/>
      <c r="AA300" s="1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ht="15.75" customHeight="1">
      <c r="A301" s="1"/>
      <c r="B301" s="108"/>
      <c r="C301" s="108"/>
      <c r="D301" s="151"/>
      <c r="E301" s="109"/>
      <c r="F301" s="108"/>
      <c r="G301" s="109"/>
      <c r="H301" s="109"/>
      <c r="I301" s="108"/>
      <c r="J301" s="1"/>
      <c r="K301" s="1"/>
      <c r="L301" s="1"/>
      <c r="M301" s="111"/>
      <c r="N301" s="111"/>
      <c r="O301" s="55"/>
      <c r="P301" s="111"/>
      <c r="Q301" s="1"/>
      <c r="R301" s="1"/>
      <c r="S301" s="84"/>
      <c r="T301" s="84"/>
      <c r="U301" s="1"/>
      <c r="V301" s="1"/>
      <c r="W301" s="1"/>
      <c r="X301" s="1"/>
      <c r="Y301" s="1"/>
      <c r="Z301" s="1"/>
      <c r="AA301" s="1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ht="15.75" customHeight="1">
      <c r="A302" s="1"/>
      <c r="B302" s="108"/>
      <c r="C302" s="108"/>
      <c r="D302" s="151"/>
      <c r="E302" s="109"/>
      <c r="F302" s="108"/>
      <c r="G302" s="109"/>
      <c r="H302" s="109"/>
      <c r="I302" s="108"/>
      <c r="J302" s="1"/>
      <c r="K302" s="1"/>
      <c r="L302" s="1"/>
      <c r="M302" s="111"/>
      <c r="N302" s="111"/>
      <c r="O302" s="55"/>
      <c r="P302" s="111"/>
      <c r="Q302" s="1"/>
      <c r="R302" s="1"/>
      <c r="S302" s="84"/>
      <c r="T302" s="84"/>
      <c r="U302" s="1"/>
      <c r="V302" s="1"/>
      <c r="W302" s="1"/>
      <c r="X302" s="1"/>
      <c r="Y302" s="1"/>
      <c r="Z302" s="1"/>
      <c r="AA302" s="1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ht="15.75" customHeight="1">
      <c r="A303" s="1"/>
      <c r="B303" s="108"/>
      <c r="C303" s="108"/>
      <c r="D303" s="151"/>
      <c r="E303" s="109"/>
      <c r="F303" s="108"/>
      <c r="G303" s="109"/>
      <c r="H303" s="109"/>
      <c r="I303" s="108"/>
      <c r="J303" s="1"/>
      <c r="K303" s="1"/>
      <c r="L303" s="1"/>
      <c r="M303" s="111"/>
      <c r="N303" s="111"/>
      <c r="O303" s="55"/>
      <c r="P303" s="111"/>
      <c r="Q303" s="1"/>
      <c r="R303" s="1"/>
      <c r="S303" s="84"/>
      <c r="T303" s="84"/>
      <c r="U303" s="1"/>
      <c r="V303" s="1"/>
      <c r="W303" s="1"/>
      <c r="X303" s="1"/>
      <c r="Y303" s="1"/>
      <c r="Z303" s="1"/>
      <c r="AA303" s="1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ht="15.75" customHeight="1">
      <c r="A304" s="1"/>
      <c r="B304" s="108"/>
      <c r="C304" s="108"/>
      <c r="D304" s="151"/>
      <c r="E304" s="109"/>
      <c r="F304" s="108"/>
      <c r="G304" s="109"/>
      <c r="H304" s="109"/>
      <c r="I304" s="108"/>
      <c r="J304" s="1"/>
      <c r="K304" s="1"/>
      <c r="L304" s="1"/>
      <c r="M304" s="111"/>
      <c r="N304" s="111"/>
      <c r="O304" s="55"/>
      <c r="P304" s="111"/>
      <c r="Q304" s="1"/>
      <c r="R304" s="1"/>
      <c r="S304" s="84"/>
      <c r="T304" s="84"/>
      <c r="U304" s="1"/>
      <c r="V304" s="1"/>
      <c r="W304" s="1"/>
      <c r="X304" s="1"/>
      <c r="Y304" s="1"/>
      <c r="Z304" s="1"/>
      <c r="AA304" s="1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ht="15.75" customHeight="1">
      <c r="A305" s="1"/>
      <c r="B305" s="108"/>
      <c r="C305" s="108"/>
      <c r="D305" s="151"/>
      <c r="E305" s="109"/>
      <c r="F305" s="108"/>
      <c r="G305" s="109"/>
      <c r="H305" s="109"/>
      <c r="I305" s="108"/>
      <c r="J305" s="1"/>
      <c r="K305" s="1"/>
      <c r="L305" s="1"/>
      <c r="M305" s="111"/>
      <c r="N305" s="111"/>
      <c r="O305" s="55"/>
      <c r="P305" s="111"/>
      <c r="Q305" s="1"/>
      <c r="R305" s="1"/>
      <c r="S305" s="84"/>
      <c r="T305" s="84"/>
      <c r="U305" s="1"/>
      <c r="V305" s="1"/>
      <c r="W305" s="1"/>
      <c r="X305" s="1"/>
      <c r="Y305" s="1"/>
      <c r="Z305" s="1"/>
      <c r="AA305" s="1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ht="15.75" customHeight="1">
      <c r="A306" s="1"/>
      <c r="B306" s="108"/>
      <c r="C306" s="108"/>
      <c r="D306" s="151"/>
      <c r="E306" s="109"/>
      <c r="F306" s="108"/>
      <c r="G306" s="109"/>
      <c r="H306" s="109"/>
      <c r="I306" s="108"/>
      <c r="J306" s="1"/>
      <c r="K306" s="1"/>
      <c r="L306" s="1"/>
      <c r="M306" s="111"/>
      <c r="N306" s="111"/>
      <c r="O306" s="55"/>
      <c r="P306" s="111"/>
      <c r="Q306" s="1"/>
      <c r="R306" s="1"/>
      <c r="S306" s="84"/>
      <c r="T306" s="84"/>
      <c r="U306" s="1"/>
      <c r="V306" s="1"/>
      <c r="W306" s="1"/>
      <c r="X306" s="1"/>
      <c r="Y306" s="1"/>
      <c r="Z306" s="1"/>
      <c r="AA306" s="1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ht="15.75" customHeight="1">
      <c r="A307" s="1"/>
      <c r="B307" s="108"/>
      <c r="C307" s="108"/>
      <c r="D307" s="151"/>
      <c r="E307" s="109"/>
      <c r="F307" s="108"/>
      <c r="G307" s="109"/>
      <c r="H307" s="109"/>
      <c r="I307" s="108"/>
      <c r="J307" s="1"/>
      <c r="K307" s="1"/>
      <c r="L307" s="1"/>
      <c r="M307" s="111"/>
      <c r="N307" s="111"/>
      <c r="O307" s="55"/>
      <c r="P307" s="111"/>
      <c r="Q307" s="1"/>
      <c r="R307" s="1"/>
      <c r="S307" s="84"/>
      <c r="T307" s="84"/>
      <c r="U307" s="1"/>
      <c r="V307" s="1"/>
      <c r="W307" s="1"/>
      <c r="X307" s="1"/>
      <c r="Y307" s="1"/>
      <c r="Z307" s="1"/>
      <c r="AA307" s="1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ht="15.75" customHeight="1">
      <c r="A308" s="1"/>
      <c r="B308" s="108"/>
      <c r="C308" s="108"/>
      <c r="D308" s="151"/>
      <c r="E308" s="109"/>
      <c r="F308" s="108"/>
      <c r="G308" s="109"/>
      <c r="H308" s="109"/>
      <c r="I308" s="108"/>
      <c r="J308" s="1"/>
      <c r="K308" s="1"/>
      <c r="L308" s="1"/>
      <c r="M308" s="111"/>
      <c r="N308" s="111"/>
      <c r="O308" s="55"/>
      <c r="P308" s="111"/>
      <c r="Q308" s="1"/>
      <c r="R308" s="1"/>
      <c r="S308" s="84"/>
      <c r="T308" s="84"/>
      <c r="U308" s="1"/>
      <c r="V308" s="1"/>
      <c r="W308" s="1"/>
      <c r="X308" s="1"/>
      <c r="Y308" s="1"/>
      <c r="Z308" s="1"/>
      <c r="AA308" s="1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ht="15.75" customHeight="1">
      <c r="A309" s="1"/>
      <c r="B309" s="108"/>
      <c r="C309" s="108"/>
      <c r="D309" s="151"/>
      <c r="E309" s="109"/>
      <c r="F309" s="108"/>
      <c r="G309" s="109"/>
      <c r="H309" s="109"/>
      <c r="I309" s="108"/>
      <c r="J309" s="1"/>
      <c r="K309" s="1"/>
      <c r="L309" s="1"/>
      <c r="M309" s="111"/>
      <c r="N309" s="111"/>
      <c r="O309" s="55"/>
      <c r="P309" s="111"/>
      <c r="Q309" s="1"/>
      <c r="R309" s="1"/>
      <c r="S309" s="84"/>
      <c r="T309" s="84"/>
      <c r="U309" s="1"/>
      <c r="V309" s="1"/>
      <c r="W309" s="1"/>
      <c r="X309" s="1"/>
      <c r="Y309" s="1"/>
      <c r="Z309" s="1"/>
      <c r="AA309" s="1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ht="15.75" customHeight="1">
      <c r="A310" s="1"/>
      <c r="B310" s="108"/>
      <c r="C310" s="108"/>
      <c r="D310" s="151"/>
      <c r="E310" s="109"/>
      <c r="F310" s="108"/>
      <c r="G310" s="109"/>
      <c r="H310" s="109"/>
      <c r="I310" s="108"/>
      <c r="J310" s="1"/>
      <c r="K310" s="1"/>
      <c r="L310" s="1"/>
      <c r="M310" s="111"/>
      <c r="N310" s="111"/>
      <c r="O310" s="111"/>
      <c r="P310" s="11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ht="15.75" customHeight="1">
      <c r="A311" s="1"/>
      <c r="B311" s="108"/>
      <c r="C311" s="108"/>
      <c r="D311" s="151"/>
      <c r="E311" s="109"/>
      <c r="F311" s="108"/>
      <c r="G311" s="108"/>
      <c r="H311" s="108"/>
      <c r="I311" s="108"/>
      <c r="J311" s="1"/>
      <c r="K311" s="1"/>
      <c r="L311" s="1"/>
      <c r="M311" s="111"/>
      <c r="N311" s="111"/>
      <c r="O311" s="11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ht="15.75" customHeight="1">
      <c r="A312" s="1"/>
      <c r="B312" s="108"/>
      <c r="C312" s="108"/>
      <c r="D312" s="151"/>
      <c r="E312" s="109"/>
      <c r="F312" s="108"/>
      <c r="G312" s="108"/>
      <c r="H312" s="108"/>
      <c r="I312" s="108"/>
      <c r="J312" s="1"/>
      <c r="K312" s="1"/>
      <c r="L312" s="1"/>
      <c r="M312" s="111"/>
      <c r="N312" s="111"/>
      <c r="O312" s="11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ht="15.75" customHeight="1">
      <c r="A313" s="1"/>
      <c r="B313" s="108"/>
      <c r="C313" s="108"/>
      <c r="D313" s="151"/>
      <c r="E313" s="109"/>
      <c r="F313" s="108"/>
      <c r="G313" s="108"/>
      <c r="H313" s="108"/>
      <c r="I313" s="108"/>
      <c r="J313" s="1"/>
      <c r="K313" s="1"/>
      <c r="L313" s="1"/>
      <c r="M313" s="111"/>
      <c r="N313" s="111"/>
      <c r="O313" s="11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ht="15.75" customHeight="1">
      <c r="A314" s="1"/>
      <c r="B314" s="108"/>
      <c r="C314" s="108"/>
      <c r="D314" s="151"/>
      <c r="E314" s="109"/>
      <c r="F314" s="108"/>
      <c r="G314" s="108"/>
      <c r="H314" s="108"/>
      <c r="I314" s="108"/>
      <c r="J314" s="1"/>
      <c r="K314" s="1"/>
      <c r="L314" s="1"/>
      <c r="M314" s="111"/>
      <c r="N314" s="111"/>
      <c r="O314" s="11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ht="15.75" customHeight="1">
      <c r="A315" s="1"/>
      <c r="B315" s="108"/>
      <c r="C315" s="108"/>
      <c r="D315" s="151"/>
      <c r="E315" s="109"/>
      <c r="F315" s="108"/>
      <c r="G315" s="108"/>
      <c r="H315" s="108"/>
      <c r="I315" s="108"/>
      <c r="J315" s="1"/>
      <c r="K315" s="1"/>
      <c r="L315" s="1"/>
      <c r="M315" s="111"/>
      <c r="N315" s="111"/>
      <c r="O315" s="11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ht="15.75" customHeight="1">
      <c r="A316" s="1"/>
      <c r="B316" s="108"/>
      <c r="C316" s="108"/>
      <c r="D316" s="151"/>
      <c r="E316" s="109"/>
      <c r="F316" s="108"/>
      <c r="G316" s="108"/>
      <c r="H316" s="108"/>
      <c r="I316" s="108"/>
      <c r="J316" s="1"/>
      <c r="K316" s="1"/>
      <c r="L316" s="1"/>
      <c r="M316" s="111"/>
      <c r="N316" s="111"/>
      <c r="O316" s="11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ht="15.75" customHeight="1">
      <c r="A317" s="1"/>
      <c r="B317" s="108"/>
      <c r="C317" s="108"/>
      <c r="D317" s="151"/>
      <c r="E317" s="109"/>
      <c r="F317" s="108"/>
      <c r="G317" s="108"/>
      <c r="H317" s="108"/>
      <c r="I317" s="108"/>
      <c r="J317" s="1"/>
      <c r="K317" s="1"/>
      <c r="L317" s="1"/>
      <c r="M317" s="111"/>
      <c r="N317" s="111"/>
      <c r="O317" s="11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ht="15.75" customHeight="1">
      <c r="A318" s="1"/>
      <c r="B318" s="108"/>
      <c r="C318" s="108"/>
      <c r="D318" s="151"/>
      <c r="E318" s="109"/>
      <c r="F318" s="108"/>
      <c r="G318" s="108"/>
      <c r="H318" s="108"/>
      <c r="I318" s="108"/>
      <c r="J318" s="1"/>
      <c r="K318" s="1"/>
      <c r="L318" s="1"/>
      <c r="M318" s="111"/>
      <c r="N318" s="111"/>
      <c r="O318" s="11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ht="15.75" customHeight="1">
      <c r="A319" s="1"/>
      <c r="B319" s="108"/>
      <c r="C319" s="108"/>
      <c r="D319" s="151"/>
      <c r="E319" s="109"/>
      <c r="F319" s="108"/>
      <c r="G319" s="108"/>
      <c r="H319" s="108"/>
      <c r="I319" s="10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ht="15.75" customHeight="1">
      <c r="A400" s="1"/>
      <c r="B400" s="1" t="s">
        <v>594</v>
      </c>
      <c r="C400" s="1" t="s">
        <v>86</v>
      </c>
      <c r="D400" s="1" t="s">
        <v>595</v>
      </c>
      <c r="E400" s="1" t="s">
        <v>596</v>
      </c>
      <c r="F400" s="1" t="s">
        <v>597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ht="15.75" customHeight="1">
      <c r="A401" s="1"/>
      <c r="B401" s="1" t="s">
        <v>163</v>
      </c>
      <c r="C401" s="1">
        <v>1.0</v>
      </c>
      <c r="D401" s="1">
        <v>0.0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ht="15.75" customHeight="1">
      <c r="A402" s="1"/>
      <c r="B402" s="1" t="s">
        <v>230</v>
      </c>
      <c r="C402" s="1">
        <v>2.33</v>
      </c>
      <c r="D402" s="1">
        <v>0.0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ht="15.75" customHeight="1">
      <c r="A403" s="1"/>
      <c r="B403" s="1" t="s">
        <v>151</v>
      </c>
      <c r="C403" s="1">
        <v>2.55</v>
      </c>
      <c r="D403" s="1">
        <v>0.0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ht="15.75" customHeight="1">
      <c r="A404" s="1"/>
      <c r="B404" s="1" t="s">
        <v>238</v>
      </c>
      <c r="C404" s="1">
        <v>3.34</v>
      </c>
      <c r="D404" s="1">
        <v>1.0</v>
      </c>
      <c r="E404" s="1" t="s">
        <v>598</v>
      </c>
      <c r="F404" s="1" t="s">
        <v>599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ht="15.75" customHeight="1">
      <c r="A405" s="1"/>
      <c r="B405" s="1" t="s">
        <v>241</v>
      </c>
      <c r="C405" s="1">
        <v>5.8</v>
      </c>
      <c r="D405" s="1">
        <v>1.0</v>
      </c>
      <c r="E405" s="1" t="s">
        <v>601</v>
      </c>
      <c r="F405" s="1" t="s">
        <v>602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ht="15.75" customHeight="1">
      <c r="A406" s="1"/>
      <c r="B406" s="1" t="s">
        <v>246</v>
      </c>
      <c r="C406" s="1">
        <v>6.4</v>
      </c>
      <c r="D406" s="1">
        <v>1.0</v>
      </c>
      <c r="E406" s="1" t="s">
        <v>603</v>
      </c>
      <c r="F406" s="1" t="s">
        <v>604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ht="15.75" customHeight="1">
      <c r="A407" s="1"/>
      <c r="B407" s="1" t="s">
        <v>249</v>
      </c>
      <c r="C407" s="1">
        <v>6.2</v>
      </c>
      <c r="D407" s="1">
        <v>0.0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ht="15.75" customHeight="1">
      <c r="A408" s="1"/>
      <c r="B408" s="1" t="s">
        <v>251</v>
      </c>
      <c r="C408" s="1">
        <v>7.5</v>
      </c>
      <c r="D408" s="1">
        <v>0.0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ht="15.75" customHeight="1">
      <c r="A409" s="1"/>
      <c r="B409" s="1" t="s">
        <v>255</v>
      </c>
      <c r="C409" s="1">
        <v>1.0</v>
      </c>
      <c r="D409" s="1">
        <v>0.0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ht="15.75" customHeight="1">
      <c r="A410" s="1"/>
      <c r="B410" s="1" t="s">
        <v>257</v>
      </c>
      <c r="C410" s="1">
        <v>4.3</v>
      </c>
      <c r="D410" s="1">
        <v>1.0</v>
      </c>
      <c r="E410" s="1" t="s">
        <v>605</v>
      </c>
      <c r="F410" s="1" t="s">
        <v>606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ht="15.75" customHeight="1">
      <c r="A411" s="1"/>
      <c r="B411" s="1" t="s">
        <v>260</v>
      </c>
      <c r="C411" s="1">
        <v>4.7</v>
      </c>
      <c r="D411" s="1">
        <v>0.0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ht="15.75" customHeight="1">
      <c r="A412" s="1"/>
      <c r="B412" s="1" t="s">
        <v>263</v>
      </c>
      <c r="C412" s="1">
        <v>5.0</v>
      </c>
      <c r="D412" s="1">
        <v>0.0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ht="15.75" customHeight="1">
      <c r="A413" s="1"/>
      <c r="B413" s="1" t="s">
        <v>265</v>
      </c>
      <c r="C413" s="1">
        <v>6.0</v>
      </c>
      <c r="D413" s="1">
        <v>1.0</v>
      </c>
      <c r="E413" s="1" t="s">
        <v>607</v>
      </c>
      <c r="F413" s="1" t="s">
        <v>608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ht="15.75" customHeight="1">
      <c r="A414" s="1"/>
      <c r="B414" s="1" t="s">
        <v>268</v>
      </c>
      <c r="C414" s="1">
        <v>7.2</v>
      </c>
      <c r="D414" s="1">
        <v>1.0</v>
      </c>
      <c r="E414" s="1" t="s">
        <v>609</v>
      </c>
      <c r="F414" s="1" t="s">
        <v>610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ht="15.75" customHeight="1">
      <c r="A415" s="1"/>
      <c r="B415" s="1" t="s">
        <v>271</v>
      </c>
      <c r="C415" s="1">
        <v>7.5</v>
      </c>
      <c r="D415" s="1">
        <v>1.0</v>
      </c>
      <c r="E415" s="1" t="s">
        <v>611</v>
      </c>
      <c r="F415" s="1" t="s">
        <v>612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ht="15.75" customHeight="1">
      <c r="A416" s="1"/>
      <c r="B416" s="1" t="s">
        <v>273</v>
      </c>
      <c r="C416" s="1">
        <v>7.77</v>
      </c>
      <c r="D416" s="1">
        <v>0.0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ht="15.75" customHeight="1">
      <c r="A417" s="1"/>
      <c r="B417" s="1" t="s">
        <v>275</v>
      </c>
      <c r="C417" s="1">
        <v>6.0</v>
      </c>
      <c r="D417" s="1">
        <v>1.0</v>
      </c>
      <c r="E417" s="1" t="s">
        <v>613</v>
      </c>
      <c r="F417" s="1" t="s">
        <v>614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ht="15.75" customHeight="1">
      <c r="A418" s="1"/>
      <c r="B418" s="1" t="s">
        <v>280</v>
      </c>
      <c r="C418" s="1">
        <v>8.0</v>
      </c>
      <c r="D418" s="1">
        <v>1.0</v>
      </c>
      <c r="E418" s="1" t="s">
        <v>615</v>
      </c>
      <c r="F418" s="1" t="s">
        <v>616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ht="15.75" customHeight="1">
      <c r="A419" s="1"/>
      <c r="B419" s="1" t="s">
        <v>287</v>
      </c>
      <c r="C419" s="1">
        <v>8.5</v>
      </c>
      <c r="D419" s="1">
        <v>0.0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ht="15.75" customHeight="1">
      <c r="A420" s="1"/>
      <c r="B420" s="1" t="s">
        <v>290</v>
      </c>
      <c r="C420" s="1">
        <v>9.0</v>
      </c>
      <c r="D420" s="1">
        <v>0.0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ht="15.75" customHeight="1">
      <c r="A421" s="1"/>
      <c r="B421" s="1" t="s">
        <v>293</v>
      </c>
      <c r="C421" s="1">
        <v>9.5</v>
      </c>
      <c r="D421" s="1">
        <v>0.0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ht="15.75" customHeight="1">
      <c r="A422" s="1"/>
      <c r="B422" s="1" t="s">
        <v>295</v>
      </c>
      <c r="C422" s="1">
        <v>11.5</v>
      </c>
      <c r="D422" s="1">
        <v>0.0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ht="15.75" customHeight="1">
      <c r="A423" s="1"/>
      <c r="B423" s="1" t="s">
        <v>298</v>
      </c>
      <c r="C423" s="1">
        <v>13.0</v>
      </c>
      <c r="D423" s="1">
        <v>0.0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ht="15.75" customHeight="1">
      <c r="A424" s="1"/>
      <c r="B424" s="1" t="s">
        <v>305</v>
      </c>
      <c r="C424" s="1">
        <v>8.5</v>
      </c>
      <c r="D424" s="1">
        <v>1.0</v>
      </c>
      <c r="E424" s="1" t="s">
        <v>617</v>
      </c>
      <c r="F424" s="1" t="s">
        <v>618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ht="15.75" customHeight="1">
      <c r="A425" s="1"/>
      <c r="B425" s="1" t="s">
        <v>310</v>
      </c>
      <c r="C425" s="1">
        <v>12.5</v>
      </c>
      <c r="D425" s="1">
        <v>1.0</v>
      </c>
      <c r="E425" s="1" t="s">
        <v>619</v>
      </c>
      <c r="F425" s="1" t="s">
        <v>620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ht="15.75" customHeight="1">
      <c r="A426" s="1"/>
      <c r="B426" s="1" t="s">
        <v>314</v>
      </c>
      <c r="C426" s="1">
        <v>13.7</v>
      </c>
      <c r="D426" s="1">
        <v>1.0</v>
      </c>
      <c r="E426" s="1" t="s">
        <v>621</v>
      </c>
      <c r="F426" s="1" t="s">
        <v>622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ht="15.75" customHeight="1">
      <c r="A427" s="1"/>
      <c r="B427" s="1" t="s">
        <v>318</v>
      </c>
      <c r="C427" s="1">
        <v>15.0</v>
      </c>
      <c r="D427" s="1">
        <v>1.0</v>
      </c>
      <c r="E427" s="1" t="s">
        <v>623</v>
      </c>
      <c r="F427" s="1" t="s">
        <v>624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ht="15.75" customHeight="1">
      <c r="A428" s="1"/>
      <c r="B428" s="1" t="s">
        <v>321</v>
      </c>
      <c r="C428" s="1">
        <v>4.0</v>
      </c>
      <c r="D428" s="1">
        <v>0.0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ht="15.75" customHeight="1">
      <c r="A429" s="1"/>
      <c r="B429" s="1" t="s">
        <v>323</v>
      </c>
      <c r="C429" s="1">
        <v>4.44</v>
      </c>
      <c r="D429" s="1">
        <v>0.0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ht="15.75" customHeight="1">
      <c r="A430" s="1"/>
      <c r="B430" s="1" t="s">
        <v>325</v>
      </c>
      <c r="C430" s="1">
        <v>4.7</v>
      </c>
      <c r="D430" s="1">
        <v>0.0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ht="15.75" customHeight="1">
      <c r="A431" s="1"/>
      <c r="B431" s="1" t="s">
        <v>326</v>
      </c>
      <c r="C431" s="1">
        <v>5.0</v>
      </c>
      <c r="D431" s="1">
        <v>0.0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ht="15.75" customHeight="1">
      <c r="A432" s="1"/>
      <c r="B432" s="1" t="s">
        <v>328</v>
      </c>
      <c r="C432" s="1">
        <v>5.2</v>
      </c>
      <c r="D432" s="1">
        <v>0.0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ht="15.75" customHeight="1">
      <c r="A433" s="1"/>
      <c r="B433" s="1" t="s">
        <v>330</v>
      </c>
      <c r="C433" s="1">
        <v>5.5</v>
      </c>
      <c r="D433" s="1">
        <v>0.0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ht="15.75" customHeight="1">
      <c r="A434" s="1"/>
      <c r="B434" s="1" t="s">
        <v>332</v>
      </c>
      <c r="C434" s="1">
        <v>9.5</v>
      </c>
      <c r="D434" s="1">
        <v>0.0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ht="15.75" customHeight="1">
      <c r="A435" s="1"/>
      <c r="B435" s="1" t="s">
        <v>333</v>
      </c>
      <c r="C435" s="1">
        <v>10.1</v>
      </c>
      <c r="D435" s="1">
        <v>0.0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ht="15.75" customHeight="1">
      <c r="A436" s="1"/>
      <c r="B436" s="1" t="s">
        <v>335</v>
      </c>
      <c r="C436" s="1">
        <v>10.33</v>
      </c>
      <c r="D436" s="1">
        <v>0.0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ht="15.75" customHeight="1">
      <c r="A437" s="1"/>
      <c r="B437" s="1" t="s">
        <v>337</v>
      </c>
      <c r="C437" s="1">
        <v>5.75</v>
      </c>
      <c r="D437" s="1">
        <v>0.0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ht="15.75" customHeight="1">
      <c r="A438" s="1"/>
      <c r="B438" s="1" t="s">
        <v>339</v>
      </c>
      <c r="C438" s="1">
        <v>6.0</v>
      </c>
      <c r="D438" s="1">
        <v>1.0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ht="15.75" customHeight="1">
      <c r="A439" s="1"/>
      <c r="B439" s="1" t="s">
        <v>341</v>
      </c>
      <c r="C439" s="1">
        <v>6.15</v>
      </c>
      <c r="D439" s="1">
        <v>0.0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ht="15.75" customHeight="1">
      <c r="A440" s="1"/>
      <c r="B440" s="1" t="s">
        <v>343</v>
      </c>
      <c r="C440" s="1">
        <v>6.5</v>
      </c>
      <c r="D440" s="1">
        <v>0.0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ht="15.75" customHeight="1">
      <c r="A441" s="1"/>
      <c r="B441" s="1" t="s">
        <v>345</v>
      </c>
      <c r="C441" s="1">
        <v>6.8</v>
      </c>
      <c r="D441" s="1">
        <v>0.0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ht="15.75" customHeight="1">
      <c r="A442" s="1"/>
      <c r="B442" s="1" t="s">
        <v>347</v>
      </c>
      <c r="C442" s="1">
        <v>11.0</v>
      </c>
      <c r="D442" s="1">
        <v>0.0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ht="15.75" customHeight="1">
      <c r="A443" s="1"/>
      <c r="B443" s="1" t="s">
        <v>349</v>
      </c>
      <c r="C443" s="1">
        <v>11.5</v>
      </c>
      <c r="D443" s="1">
        <v>0.0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ht="15.75" customHeight="1">
      <c r="A444" s="1"/>
      <c r="B444" s="1" t="s">
        <v>350</v>
      </c>
      <c r="C444" s="1">
        <v>12.0</v>
      </c>
      <c r="D444" s="1">
        <v>1.0</v>
      </c>
      <c r="E444" s="1" t="s">
        <v>625</v>
      </c>
      <c r="F444" s="1" t="s">
        <v>626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ht="15.75" customHeight="1">
      <c r="A445" s="1"/>
      <c r="B445" s="1" t="s">
        <v>354</v>
      </c>
      <c r="C445" s="1">
        <v>11.1</v>
      </c>
      <c r="D445" s="1">
        <v>0.0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ht="15.75" customHeight="1">
      <c r="A446" s="1"/>
      <c r="B446" s="1" t="s">
        <v>356</v>
      </c>
      <c r="C446" s="1">
        <v>8.0</v>
      </c>
      <c r="D446" s="1">
        <v>0.0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ht="15.75" customHeight="1">
      <c r="A447" s="1"/>
      <c r="B447" s="1" t="s">
        <v>357</v>
      </c>
      <c r="C447" s="1">
        <v>10.0</v>
      </c>
      <c r="D447" s="1">
        <v>1.0</v>
      </c>
      <c r="E447" s="1" t="s">
        <v>627</v>
      </c>
      <c r="F447" s="1" t="s">
        <v>628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ht="15.75" customHeight="1">
      <c r="A448" s="1"/>
      <c r="B448" s="1" t="s">
        <v>359</v>
      </c>
      <c r="C448" s="1">
        <v>12.21</v>
      </c>
      <c r="D448" s="1">
        <v>0.0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ht="15.75" customHeight="1">
      <c r="A449" s="1"/>
      <c r="B449" s="1" t="s">
        <v>361</v>
      </c>
      <c r="C449" s="1">
        <v>13.0</v>
      </c>
      <c r="D449" s="1">
        <v>0.0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ht="15.75" customHeight="1">
      <c r="A450" s="1"/>
      <c r="B450" s="1" t="s">
        <v>362</v>
      </c>
      <c r="C450" s="1">
        <v>13.39</v>
      </c>
      <c r="D450" s="1">
        <v>1.0</v>
      </c>
      <c r="E450" s="1" t="s">
        <v>629</v>
      </c>
      <c r="F450" s="1" t="s">
        <v>630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ht="15.75" customHeight="1">
      <c r="A451" s="1"/>
      <c r="B451" s="1" t="s">
        <v>365</v>
      </c>
      <c r="C451" s="1">
        <v>14.0</v>
      </c>
      <c r="D451" s="1">
        <v>0.0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ht="15.75" customHeight="1">
      <c r="A452" s="1"/>
      <c r="B452" s="1" t="s">
        <v>367</v>
      </c>
      <c r="C452" s="1">
        <v>9.8</v>
      </c>
      <c r="D452" s="1">
        <v>0.0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ht="15.75" customHeight="1">
      <c r="A453" s="1"/>
      <c r="B453" s="1" t="s">
        <v>369</v>
      </c>
      <c r="C453" s="1">
        <v>14.44</v>
      </c>
      <c r="D453" s="1">
        <v>1.0</v>
      </c>
      <c r="E453" s="1" t="s">
        <v>631</v>
      </c>
      <c r="F453" s="1" t="s">
        <v>632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ht="15.75" customHeight="1">
      <c r="A454" s="1"/>
      <c r="B454" s="1" t="s">
        <v>372</v>
      </c>
      <c r="C454" s="1">
        <v>15.15</v>
      </c>
      <c r="D454" s="1">
        <v>0.0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ht="15.75" customHeight="1">
      <c r="A455" s="1"/>
      <c r="B455" s="1" t="s">
        <v>374</v>
      </c>
      <c r="C455" s="1">
        <v>17.0</v>
      </c>
      <c r="D455" s="1">
        <v>1.0</v>
      </c>
      <c r="E455" s="1" t="s">
        <v>633</v>
      </c>
      <c r="F455" s="1" t="s">
        <v>634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</row>
    <row r="656" ht="15.75" customHeight="1">
      <c r="A656" s="203"/>
      <c r="B656" s="203"/>
      <c r="C656" s="203"/>
      <c r="D656" s="203"/>
      <c r="E656" s="203"/>
      <c r="F656" s="20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</row>
    <row r="657" ht="15.75" customHeight="1">
      <c r="A657" s="203"/>
      <c r="B657" s="203"/>
      <c r="C657" s="203"/>
      <c r="D657" s="203"/>
      <c r="E657" s="203"/>
      <c r="F657" s="20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</row>
    <row r="658" ht="15.75" customHeight="1">
      <c r="A658" s="203"/>
      <c r="B658" s="203"/>
      <c r="C658" s="203"/>
      <c r="D658" s="203"/>
      <c r="E658" s="203"/>
      <c r="F658" s="20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</row>
    <row r="659" ht="15.75" customHeight="1">
      <c r="A659" s="203"/>
      <c r="B659" s="203"/>
      <c r="C659" s="203"/>
      <c r="D659" s="203"/>
      <c r="E659" s="203"/>
      <c r="F659" s="20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</row>
    <row r="660" ht="15.75" customHeight="1">
      <c r="A660" s="203"/>
      <c r="B660" s="203"/>
      <c r="C660" s="203"/>
      <c r="D660" s="203"/>
      <c r="E660" s="203"/>
      <c r="F660" s="20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</row>
    <row r="661" ht="15.75" customHeight="1">
      <c r="A661" s="203"/>
      <c r="B661" s="203"/>
      <c r="C661" s="203"/>
      <c r="D661" s="203"/>
      <c r="E661" s="203"/>
      <c r="F661" s="20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</row>
    <row r="662" ht="15.75" customHeight="1">
      <c r="A662" s="203"/>
      <c r="B662" s="203"/>
      <c r="C662" s="203"/>
      <c r="D662" s="203"/>
      <c r="E662" s="203"/>
      <c r="F662" s="20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</row>
    <row r="663" ht="15.75" customHeight="1">
      <c r="A663" s="203"/>
      <c r="B663" s="203"/>
      <c r="C663" s="203"/>
      <c r="D663" s="203"/>
      <c r="E663" s="203"/>
      <c r="F663" s="20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</row>
    <row r="664" ht="15.75" customHeight="1">
      <c r="A664" s="203"/>
      <c r="B664" s="203"/>
      <c r="C664" s="203"/>
      <c r="D664" s="203"/>
      <c r="E664" s="203"/>
      <c r="F664" s="20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</row>
    <row r="665" ht="15.75" customHeight="1">
      <c r="A665" s="203"/>
      <c r="B665" s="203"/>
      <c r="C665" s="203"/>
      <c r="D665" s="203"/>
      <c r="E665" s="203"/>
      <c r="F665" s="20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</row>
    <row r="666" ht="15.75" customHeight="1">
      <c r="A666" s="203"/>
      <c r="B666" s="203"/>
      <c r="C666" s="203"/>
      <c r="D666" s="203"/>
      <c r="E666" s="203"/>
      <c r="F666" s="20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</row>
    <row r="667" ht="15.75" customHeight="1">
      <c r="A667" s="203"/>
      <c r="B667" s="203"/>
      <c r="C667" s="203"/>
      <c r="D667" s="203"/>
      <c r="E667" s="203"/>
      <c r="F667" s="20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</row>
    <row r="668" ht="15.75" customHeight="1">
      <c r="A668" s="203"/>
      <c r="B668" s="203"/>
      <c r="C668" s="203"/>
      <c r="D668" s="203"/>
      <c r="E668" s="203"/>
      <c r="F668" s="20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</row>
    <row r="669" ht="15.75" customHeight="1">
      <c r="A669" s="203"/>
      <c r="B669" s="203"/>
      <c r="C669" s="203"/>
      <c r="D669" s="203"/>
      <c r="E669" s="203"/>
      <c r="F669" s="20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</row>
    <row r="670" ht="15.75" customHeight="1">
      <c r="A670" s="203"/>
      <c r="B670" s="203"/>
      <c r="C670" s="203"/>
      <c r="D670" s="203"/>
      <c r="E670" s="203"/>
      <c r="F670" s="20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</row>
    <row r="671" ht="15.75" customHeight="1">
      <c r="A671" s="203"/>
      <c r="B671" s="203"/>
      <c r="C671" s="203"/>
      <c r="D671" s="203"/>
      <c r="E671" s="203"/>
      <c r="F671" s="20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</row>
    <row r="672" ht="15.75" customHeight="1">
      <c r="A672" s="203"/>
      <c r="B672" s="203"/>
      <c r="C672" s="203"/>
      <c r="D672" s="203"/>
      <c r="E672" s="203"/>
      <c r="F672" s="20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</row>
    <row r="673" ht="15.75" customHeight="1">
      <c r="A673" s="203"/>
      <c r="B673" s="203"/>
      <c r="C673" s="203"/>
      <c r="D673" s="203"/>
      <c r="E673" s="203"/>
      <c r="F673" s="20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</row>
    <row r="674" ht="15.75" customHeight="1">
      <c r="A674" s="203"/>
      <c r="B674" s="203"/>
      <c r="C674" s="203"/>
      <c r="D674" s="203"/>
      <c r="E674" s="203"/>
      <c r="F674" s="20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</row>
    <row r="675" ht="15.75" customHeight="1">
      <c r="A675" s="203"/>
      <c r="B675" s="203"/>
      <c r="C675" s="203"/>
      <c r="D675" s="203"/>
      <c r="E675" s="203"/>
      <c r="F675" s="20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</row>
    <row r="676" ht="15.75" customHeight="1">
      <c r="A676" s="203"/>
      <c r="B676" s="203"/>
      <c r="C676" s="203"/>
      <c r="D676" s="203"/>
      <c r="E676" s="203"/>
      <c r="F676" s="20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</row>
    <row r="677" ht="15.75" customHeight="1">
      <c r="A677" s="203"/>
      <c r="B677" s="203"/>
      <c r="C677" s="203"/>
      <c r="D677" s="203"/>
      <c r="E677" s="203"/>
      <c r="F677" s="20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</row>
    <row r="678" ht="15.75" customHeight="1">
      <c r="A678" s="203"/>
      <c r="B678" s="203"/>
      <c r="C678" s="203"/>
      <c r="D678" s="203"/>
      <c r="E678" s="203"/>
      <c r="F678" s="20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</row>
    <row r="679" ht="15.75" customHeight="1">
      <c r="A679" s="203"/>
      <c r="B679" s="203"/>
      <c r="C679" s="203"/>
      <c r="D679" s="203"/>
      <c r="E679" s="203"/>
      <c r="F679" s="20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</row>
    <row r="680" ht="15.75" customHeight="1">
      <c r="A680" s="203"/>
      <c r="B680" s="203"/>
      <c r="C680" s="203"/>
      <c r="D680" s="203"/>
      <c r="E680" s="203"/>
      <c r="F680" s="20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</row>
    <row r="681" ht="15.75" customHeight="1">
      <c r="A681" s="203"/>
      <c r="B681" s="203"/>
      <c r="C681" s="203"/>
      <c r="D681" s="203"/>
      <c r="E681" s="203"/>
      <c r="F681" s="20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</row>
    <row r="682" ht="15.75" customHeight="1">
      <c r="A682" s="203"/>
      <c r="B682" s="203"/>
      <c r="C682" s="203"/>
      <c r="D682" s="203"/>
      <c r="E682" s="203"/>
      <c r="F682" s="20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</row>
    <row r="683" ht="15.75" customHeight="1">
      <c r="A683" s="203"/>
      <c r="B683" s="203"/>
      <c r="C683" s="203"/>
      <c r="D683" s="203"/>
      <c r="E683" s="203"/>
      <c r="F683" s="20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</row>
    <row r="684" ht="15.75" customHeight="1">
      <c r="A684" s="203"/>
      <c r="B684" s="203"/>
      <c r="C684" s="203"/>
      <c r="D684" s="203"/>
      <c r="E684" s="203"/>
      <c r="F684" s="20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</row>
    <row r="685" ht="15.75" customHeight="1">
      <c r="A685" s="203"/>
      <c r="B685" s="203"/>
      <c r="C685" s="203"/>
      <c r="D685" s="203"/>
      <c r="E685" s="203"/>
      <c r="F685" s="20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</row>
    <row r="686" ht="15.75" customHeight="1">
      <c r="A686" s="203"/>
      <c r="B686" s="203"/>
      <c r="C686" s="203"/>
      <c r="D686" s="203"/>
      <c r="E686" s="203"/>
      <c r="F686" s="20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</row>
    <row r="687" ht="15.75" customHeight="1">
      <c r="A687" s="203"/>
      <c r="B687" s="203"/>
      <c r="C687" s="203"/>
      <c r="D687" s="203"/>
      <c r="E687" s="203"/>
      <c r="F687" s="20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</row>
    <row r="688" ht="15.75" customHeight="1">
      <c r="A688" s="203"/>
      <c r="B688" s="203"/>
      <c r="C688" s="203"/>
      <c r="D688" s="203"/>
      <c r="E688" s="203"/>
      <c r="F688" s="20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</row>
    <row r="689" ht="15.75" customHeight="1">
      <c r="A689" s="203"/>
      <c r="B689" s="203"/>
      <c r="C689" s="203"/>
      <c r="D689" s="203"/>
      <c r="E689" s="203"/>
      <c r="F689" s="20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</row>
    <row r="690" ht="15.75" customHeight="1">
      <c r="A690" s="203"/>
      <c r="B690" s="203"/>
      <c r="C690" s="203"/>
      <c r="D690" s="203"/>
      <c r="E690" s="203"/>
      <c r="F690" s="20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</row>
    <row r="691" ht="15.75" customHeight="1">
      <c r="A691" s="203"/>
      <c r="B691" s="203"/>
      <c r="C691" s="203"/>
      <c r="D691" s="203"/>
      <c r="E691" s="203"/>
      <c r="F691" s="20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</row>
    <row r="692" ht="15.75" customHeight="1">
      <c r="A692" s="203"/>
      <c r="B692" s="203"/>
      <c r="C692" s="203"/>
      <c r="D692" s="203"/>
      <c r="E692" s="203"/>
      <c r="F692" s="20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</row>
    <row r="693" ht="15.75" customHeight="1">
      <c r="A693" s="203"/>
      <c r="B693" s="203"/>
      <c r="C693" s="203"/>
      <c r="D693" s="203"/>
      <c r="E693" s="203"/>
      <c r="F693" s="20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</row>
    <row r="694" ht="15.75" customHeight="1">
      <c r="A694" s="203"/>
      <c r="B694" s="203"/>
      <c r="C694" s="203"/>
      <c r="D694" s="203"/>
      <c r="E694" s="203"/>
      <c r="F694" s="20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</row>
    <row r="695" ht="15.75" customHeight="1">
      <c r="A695" s="203"/>
      <c r="B695" s="203"/>
      <c r="C695" s="203"/>
      <c r="D695" s="203"/>
      <c r="E695" s="203"/>
      <c r="F695" s="20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</row>
    <row r="696" ht="15.75" customHeight="1">
      <c r="A696" s="203"/>
      <c r="B696" s="203"/>
      <c r="C696" s="203"/>
      <c r="D696" s="203"/>
      <c r="E696" s="203"/>
      <c r="F696" s="20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</row>
    <row r="697" ht="15.75" customHeight="1">
      <c r="A697" s="203"/>
      <c r="B697" s="203"/>
      <c r="C697" s="203"/>
      <c r="D697" s="203"/>
      <c r="E697" s="203"/>
      <c r="F697" s="20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</row>
    <row r="698" ht="15.75" customHeight="1">
      <c r="A698" s="203"/>
      <c r="B698" s="203"/>
      <c r="C698" s="203"/>
      <c r="D698" s="203"/>
      <c r="E698" s="203"/>
      <c r="F698" s="20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</row>
    <row r="699" ht="15.75" customHeight="1">
      <c r="A699" s="203"/>
      <c r="B699" s="203"/>
      <c r="C699" s="203"/>
      <c r="D699" s="203"/>
      <c r="E699" s="203"/>
      <c r="F699" s="20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</row>
    <row r="700" ht="15.75" customHeight="1">
      <c r="A700" s="203"/>
      <c r="B700" s="203"/>
      <c r="C700" s="203"/>
      <c r="D700" s="203"/>
      <c r="E700" s="203"/>
      <c r="F700" s="20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</row>
    <row r="701" ht="15.75" customHeight="1">
      <c r="A701" s="203"/>
      <c r="B701" s="203"/>
      <c r="C701" s="203"/>
      <c r="D701" s="203"/>
      <c r="E701" s="203"/>
      <c r="F701" s="20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</row>
    <row r="702" ht="15.75" customHeight="1">
      <c r="A702" s="203"/>
      <c r="B702" s="203"/>
      <c r="C702" s="203"/>
      <c r="D702" s="203"/>
      <c r="E702" s="203"/>
      <c r="F702" s="20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</row>
    <row r="703" ht="15.75" customHeight="1">
      <c r="A703" s="203"/>
      <c r="B703" s="203"/>
      <c r="C703" s="203"/>
      <c r="D703" s="203"/>
      <c r="E703" s="203"/>
      <c r="F703" s="20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</row>
    <row r="704" ht="15.75" customHeight="1">
      <c r="A704" s="203"/>
      <c r="B704" s="203"/>
      <c r="C704" s="203"/>
      <c r="D704" s="203"/>
      <c r="E704" s="203"/>
      <c r="F704" s="20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</row>
    <row r="705" ht="15.75" customHeight="1">
      <c r="A705" s="203"/>
      <c r="B705" s="203"/>
      <c r="C705" s="203"/>
      <c r="D705" s="203"/>
      <c r="E705" s="203"/>
      <c r="F705" s="20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</row>
    <row r="706" ht="15.75" customHeight="1">
      <c r="A706" s="203"/>
      <c r="B706" s="203"/>
      <c r="C706" s="203"/>
      <c r="D706" s="203"/>
      <c r="E706" s="203"/>
      <c r="F706" s="20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</row>
    <row r="707" ht="15.75" customHeight="1">
      <c r="A707" s="203"/>
      <c r="B707" s="203"/>
      <c r="C707" s="203"/>
      <c r="D707" s="203"/>
      <c r="E707" s="203"/>
      <c r="F707" s="20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</row>
    <row r="708" ht="15.75" customHeight="1">
      <c r="A708" s="203"/>
      <c r="B708" s="203"/>
      <c r="C708" s="203"/>
      <c r="D708" s="203"/>
      <c r="E708" s="203"/>
      <c r="F708" s="20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</row>
    <row r="709" ht="15.75" customHeight="1">
      <c r="A709" s="203"/>
      <c r="B709" s="203"/>
      <c r="C709" s="203"/>
      <c r="D709" s="203"/>
      <c r="E709" s="203"/>
      <c r="F709" s="20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</row>
    <row r="710" ht="15.75" customHeight="1">
      <c r="A710" s="203"/>
      <c r="B710" s="203"/>
      <c r="C710" s="203"/>
      <c r="D710" s="203"/>
      <c r="E710" s="203"/>
      <c r="F710" s="20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</row>
    <row r="711" ht="15.75" customHeight="1">
      <c r="A711" s="203"/>
      <c r="B711" s="203"/>
      <c r="C711" s="203"/>
      <c r="D711" s="203"/>
      <c r="E711" s="203"/>
      <c r="F711" s="20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</row>
    <row r="712" ht="15.75" customHeight="1">
      <c r="A712" s="203"/>
      <c r="B712" s="203"/>
      <c r="C712" s="203"/>
      <c r="D712" s="203"/>
      <c r="E712" s="203"/>
      <c r="F712" s="20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</row>
    <row r="713" ht="15.75" customHeight="1">
      <c r="A713" s="203"/>
      <c r="B713" s="203"/>
      <c r="C713" s="203"/>
      <c r="D713" s="203"/>
      <c r="E713" s="203"/>
      <c r="F713" s="20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</row>
    <row r="714" ht="15.75" customHeight="1">
      <c r="A714" s="203"/>
      <c r="B714" s="203"/>
      <c r="C714" s="203"/>
      <c r="D714" s="203"/>
      <c r="E714" s="203"/>
      <c r="F714" s="20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</row>
    <row r="715" ht="15.75" customHeight="1">
      <c r="A715" s="203"/>
      <c r="B715" s="203"/>
      <c r="C715" s="203"/>
      <c r="D715" s="203"/>
      <c r="E715" s="203"/>
      <c r="F715" s="20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</row>
    <row r="716" ht="15.75" customHeight="1">
      <c r="A716" s="203"/>
      <c r="B716" s="203"/>
      <c r="C716" s="203"/>
      <c r="D716" s="203"/>
      <c r="E716" s="203"/>
      <c r="F716" s="20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</row>
    <row r="717" ht="15.75" customHeight="1">
      <c r="A717" s="203"/>
      <c r="B717" s="203"/>
      <c r="C717" s="203"/>
      <c r="D717" s="203"/>
      <c r="E717" s="203"/>
      <c r="F717" s="20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</row>
    <row r="718" ht="15.75" customHeight="1">
      <c r="A718" s="203"/>
      <c r="B718" s="203"/>
      <c r="C718" s="203"/>
      <c r="D718" s="203"/>
      <c r="E718" s="203"/>
      <c r="F718" s="20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</row>
    <row r="719" ht="15.75" customHeight="1">
      <c r="A719" s="203"/>
      <c r="B719" s="203"/>
      <c r="C719" s="203"/>
      <c r="D719" s="203"/>
      <c r="E719" s="203"/>
      <c r="F719" s="20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</row>
    <row r="720" ht="15.75" customHeight="1">
      <c r="A720" s="203"/>
      <c r="B720" s="203"/>
      <c r="C720" s="203"/>
      <c r="D720" s="203"/>
      <c r="E720" s="203"/>
      <c r="F720" s="20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</row>
    <row r="721" ht="15.75" customHeight="1">
      <c r="A721" s="203"/>
      <c r="B721" s="203"/>
      <c r="C721" s="203"/>
      <c r="D721" s="203"/>
      <c r="E721" s="203"/>
      <c r="F721" s="20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</row>
    <row r="722" ht="15.75" customHeight="1">
      <c r="A722" s="203"/>
      <c r="B722" s="203"/>
      <c r="C722" s="203"/>
      <c r="D722" s="203"/>
      <c r="E722" s="203"/>
      <c r="F722" s="20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</row>
    <row r="723" ht="15.75" customHeight="1">
      <c r="A723" s="203"/>
      <c r="B723" s="203"/>
      <c r="C723" s="203"/>
      <c r="D723" s="203"/>
      <c r="E723" s="203"/>
      <c r="F723" s="20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</row>
    <row r="724" ht="15.75" customHeight="1">
      <c r="A724" s="203"/>
      <c r="B724" s="203"/>
      <c r="C724" s="203"/>
      <c r="D724" s="203"/>
      <c r="E724" s="203"/>
      <c r="F724" s="20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</row>
    <row r="725" ht="15.75" customHeight="1">
      <c r="A725" s="203"/>
      <c r="B725" s="203"/>
      <c r="C725" s="203"/>
      <c r="D725" s="203"/>
      <c r="E725" s="203"/>
      <c r="F725" s="20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</row>
    <row r="726" ht="15.75" customHeight="1">
      <c r="A726" s="203"/>
      <c r="B726" s="203"/>
      <c r="C726" s="203"/>
      <c r="D726" s="203"/>
      <c r="E726" s="203"/>
      <c r="F726" s="20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</row>
    <row r="727" ht="15.75" customHeight="1">
      <c r="A727" s="203"/>
      <c r="B727" s="203"/>
      <c r="C727" s="203"/>
      <c r="D727" s="203"/>
      <c r="E727" s="203"/>
      <c r="F727" s="20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</row>
    <row r="728" ht="15.75" customHeight="1">
      <c r="A728" s="203"/>
      <c r="B728" s="203"/>
      <c r="C728" s="203"/>
      <c r="D728" s="203"/>
      <c r="E728" s="203"/>
      <c r="F728" s="20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</row>
    <row r="729" ht="15.75" customHeight="1">
      <c r="A729" s="203"/>
      <c r="B729" s="203"/>
      <c r="C729" s="203"/>
      <c r="D729" s="203"/>
      <c r="E729" s="203"/>
      <c r="F729" s="20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</row>
    <row r="730" ht="15.75" customHeight="1">
      <c r="A730" s="203"/>
      <c r="B730" s="203"/>
      <c r="C730" s="203"/>
      <c r="D730" s="203"/>
      <c r="E730" s="203"/>
      <c r="F730" s="20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</row>
    <row r="731" ht="15.75" customHeight="1">
      <c r="A731" s="203"/>
      <c r="B731" s="203"/>
      <c r="C731" s="203"/>
      <c r="D731" s="203"/>
      <c r="E731" s="203"/>
      <c r="F731" s="20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</row>
    <row r="732" ht="15.75" customHeight="1">
      <c r="A732" s="203"/>
      <c r="B732" s="203"/>
      <c r="C732" s="203"/>
      <c r="D732" s="203"/>
      <c r="E732" s="203"/>
      <c r="F732" s="20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</row>
    <row r="733" ht="15.75" customHeight="1">
      <c r="A733" s="203"/>
      <c r="B733" s="203"/>
      <c r="C733" s="203"/>
      <c r="D733" s="203"/>
      <c r="E733" s="203"/>
      <c r="F733" s="20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</row>
    <row r="734" ht="15.75" customHeight="1">
      <c r="A734" s="203"/>
      <c r="B734" s="203"/>
      <c r="C734" s="203"/>
      <c r="D734" s="203"/>
      <c r="E734" s="203"/>
      <c r="F734" s="20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</row>
    <row r="735" ht="15.75" customHeight="1">
      <c r="A735" s="203"/>
      <c r="B735" s="203"/>
      <c r="C735" s="203"/>
      <c r="D735" s="203"/>
      <c r="E735" s="203"/>
      <c r="F735" s="20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</row>
    <row r="736" ht="15.75" customHeight="1">
      <c r="A736" s="203"/>
      <c r="B736" s="203"/>
      <c r="C736" s="203"/>
      <c r="D736" s="203"/>
      <c r="E736" s="203"/>
      <c r="F736" s="20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</row>
    <row r="737" ht="15.75" customHeight="1">
      <c r="A737" s="203"/>
      <c r="B737" s="203"/>
      <c r="C737" s="203"/>
      <c r="D737" s="203"/>
      <c r="E737" s="203"/>
      <c r="F737" s="20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</row>
    <row r="738" ht="15.75" customHeight="1">
      <c r="A738" s="203"/>
      <c r="B738" s="203"/>
      <c r="C738" s="203"/>
      <c r="D738" s="203"/>
      <c r="E738" s="203"/>
      <c r="F738" s="20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</row>
    <row r="739" ht="15.75" customHeight="1">
      <c r="A739" s="203"/>
      <c r="B739" s="203"/>
      <c r="C739" s="203"/>
      <c r="D739" s="203"/>
      <c r="E739" s="203"/>
      <c r="F739" s="20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</row>
    <row r="740" ht="15.75" customHeight="1">
      <c r="A740" s="203"/>
      <c r="B740" s="203"/>
      <c r="C740" s="203"/>
      <c r="D740" s="203"/>
      <c r="E740" s="203"/>
      <c r="F740" s="20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</row>
    <row r="741" ht="15.75" customHeight="1">
      <c r="A741" s="203"/>
      <c r="B741" s="203"/>
      <c r="C741" s="203"/>
      <c r="D741" s="203"/>
      <c r="E741" s="203"/>
      <c r="F741" s="20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</row>
    <row r="742" ht="15.75" customHeight="1">
      <c r="A742" s="203"/>
      <c r="B742" s="203"/>
      <c r="C742" s="203"/>
      <c r="D742" s="203"/>
      <c r="E742" s="203"/>
      <c r="F742" s="20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</row>
    <row r="743" ht="15.75" customHeight="1">
      <c r="A743" s="203"/>
      <c r="B743" s="203"/>
      <c r="C743" s="203"/>
      <c r="D743" s="203"/>
      <c r="E743" s="203"/>
      <c r="F743" s="20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</row>
    <row r="744" ht="15.75" customHeight="1">
      <c r="A744" s="203"/>
      <c r="B744" s="203"/>
      <c r="C744" s="203"/>
      <c r="D744" s="203"/>
      <c r="E744" s="203"/>
      <c r="F744" s="20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</row>
    <row r="745" ht="15.75" customHeight="1">
      <c r="A745" s="203"/>
      <c r="B745" s="203"/>
      <c r="C745" s="203"/>
      <c r="D745" s="203"/>
      <c r="E745" s="203"/>
      <c r="F745" s="20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</row>
    <row r="746" ht="15.75" customHeight="1">
      <c r="A746" s="203"/>
      <c r="B746" s="203"/>
      <c r="C746" s="203"/>
      <c r="D746" s="203"/>
      <c r="E746" s="203"/>
      <c r="F746" s="20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</row>
    <row r="747" ht="15.75" customHeight="1">
      <c r="A747" s="203"/>
      <c r="B747" s="203"/>
      <c r="C747" s="203"/>
      <c r="D747" s="203"/>
      <c r="E747" s="203"/>
      <c r="F747" s="20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</row>
    <row r="748" ht="15.75" customHeight="1">
      <c r="A748" s="203"/>
      <c r="B748" s="203"/>
      <c r="C748" s="203"/>
      <c r="D748" s="203"/>
      <c r="E748" s="203"/>
      <c r="F748" s="20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</row>
    <row r="749" ht="15.75" customHeight="1">
      <c r="A749" s="203"/>
      <c r="B749" s="203"/>
      <c r="C749" s="203"/>
      <c r="D749" s="203"/>
      <c r="E749" s="203"/>
      <c r="F749" s="20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</row>
    <row r="750" ht="15.75" customHeight="1">
      <c r="A750" s="203"/>
      <c r="B750" s="203"/>
      <c r="C750" s="203"/>
      <c r="D750" s="203"/>
      <c r="E750" s="203"/>
      <c r="F750" s="20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</row>
    <row r="751" ht="15.75" customHeight="1">
      <c r="A751" s="203"/>
      <c r="B751" s="203"/>
      <c r="C751" s="203"/>
      <c r="D751" s="203"/>
      <c r="E751" s="203"/>
      <c r="F751" s="20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</row>
    <row r="752" ht="15.75" customHeight="1">
      <c r="A752" s="203"/>
      <c r="B752" s="203"/>
      <c r="C752" s="203"/>
      <c r="D752" s="203"/>
      <c r="E752" s="203"/>
      <c r="F752" s="20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</row>
    <row r="753" ht="15.75" customHeight="1">
      <c r="A753" s="203"/>
      <c r="B753" s="203"/>
      <c r="C753" s="203"/>
      <c r="D753" s="203"/>
      <c r="E753" s="203"/>
      <c r="F753" s="20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</row>
    <row r="754" ht="15.75" customHeight="1">
      <c r="A754" s="203"/>
      <c r="B754" s="203"/>
      <c r="C754" s="203"/>
      <c r="D754" s="203"/>
      <c r="E754" s="203"/>
      <c r="F754" s="20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</row>
    <row r="755" ht="15.75" customHeight="1">
      <c r="A755" s="203"/>
      <c r="B755" s="203"/>
      <c r="C755" s="203"/>
      <c r="D755" s="203"/>
      <c r="E755" s="203"/>
      <c r="F755" s="20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</row>
    <row r="756" ht="15.75" customHeight="1">
      <c r="A756" s="203"/>
      <c r="B756" s="203"/>
      <c r="C756" s="203"/>
      <c r="D756" s="203"/>
      <c r="E756" s="203"/>
      <c r="F756" s="20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</row>
    <row r="757" ht="15.75" customHeight="1">
      <c r="A757" s="203"/>
      <c r="B757" s="203"/>
      <c r="C757" s="203"/>
      <c r="D757" s="203"/>
      <c r="E757" s="203"/>
      <c r="F757" s="20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</row>
    <row r="758" ht="15.75" customHeight="1">
      <c r="A758" s="203"/>
      <c r="B758" s="203"/>
      <c r="C758" s="203"/>
      <c r="D758" s="203"/>
      <c r="E758" s="203"/>
      <c r="F758" s="20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</row>
    <row r="759" ht="15.75" customHeight="1">
      <c r="A759" s="203"/>
      <c r="B759" s="203"/>
      <c r="C759" s="203"/>
      <c r="D759" s="203"/>
      <c r="E759" s="203"/>
      <c r="F759" s="20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</row>
    <row r="760" ht="15.75" customHeight="1">
      <c r="A760" s="203"/>
      <c r="B760" s="203"/>
      <c r="C760" s="203"/>
      <c r="D760" s="203"/>
      <c r="E760" s="203"/>
      <c r="F760" s="20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</row>
    <row r="761" ht="15.75" customHeight="1">
      <c r="A761" s="203"/>
      <c r="B761" s="203"/>
      <c r="C761" s="203"/>
      <c r="D761" s="203"/>
      <c r="E761" s="203"/>
      <c r="F761" s="20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</row>
    <row r="762" ht="15.75" customHeight="1">
      <c r="A762" s="203"/>
      <c r="B762" s="203"/>
      <c r="C762" s="203"/>
      <c r="D762" s="203"/>
      <c r="E762" s="203"/>
      <c r="F762" s="20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</row>
    <row r="763" ht="15.75" customHeight="1">
      <c r="A763" s="203"/>
      <c r="B763" s="203"/>
      <c r="C763" s="203"/>
      <c r="D763" s="203"/>
      <c r="E763" s="203"/>
      <c r="F763" s="20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</row>
    <row r="764" ht="15.75" customHeight="1">
      <c r="A764" s="203"/>
      <c r="B764" s="203"/>
      <c r="C764" s="203"/>
      <c r="D764" s="203"/>
      <c r="E764" s="203"/>
      <c r="F764" s="20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</row>
    <row r="765" ht="15.75" customHeight="1">
      <c r="A765" s="203"/>
      <c r="B765" s="203"/>
      <c r="C765" s="203"/>
      <c r="D765" s="203"/>
      <c r="E765" s="203"/>
      <c r="F765" s="20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</row>
    <row r="766" ht="15.75" customHeight="1">
      <c r="A766" s="203"/>
      <c r="B766" s="203"/>
      <c r="C766" s="203"/>
      <c r="D766" s="203"/>
      <c r="E766" s="203"/>
      <c r="F766" s="20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</row>
    <row r="767" ht="15.75" customHeight="1">
      <c r="A767" s="203"/>
      <c r="B767" s="203"/>
      <c r="C767" s="203"/>
      <c r="D767" s="203"/>
      <c r="E767" s="203"/>
      <c r="F767" s="20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</row>
    <row r="768" ht="15.75" customHeight="1">
      <c r="A768" s="203"/>
      <c r="B768" s="203"/>
      <c r="C768" s="203"/>
      <c r="D768" s="203"/>
      <c r="E768" s="203"/>
      <c r="F768" s="20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</row>
    <row r="769" ht="15.75" customHeight="1">
      <c r="A769" s="203"/>
      <c r="B769" s="203"/>
      <c r="C769" s="203"/>
      <c r="D769" s="203"/>
      <c r="E769" s="203"/>
      <c r="F769" s="20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</row>
    <row r="770" ht="15.75" customHeight="1">
      <c r="A770" s="203"/>
      <c r="B770" s="203"/>
      <c r="C770" s="203"/>
      <c r="D770" s="203"/>
      <c r="E770" s="203"/>
      <c r="F770" s="20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</row>
    <row r="771" ht="15.75" customHeight="1">
      <c r="A771" s="203"/>
      <c r="B771" s="203"/>
      <c r="C771" s="203"/>
      <c r="D771" s="203"/>
      <c r="E771" s="203"/>
      <c r="F771" s="20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</row>
    <row r="772" ht="15.75" customHeight="1">
      <c r="A772" s="203"/>
      <c r="B772" s="203"/>
      <c r="C772" s="203"/>
      <c r="D772" s="203"/>
      <c r="E772" s="203"/>
      <c r="F772" s="20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</row>
    <row r="773" ht="15.75" customHeight="1">
      <c r="A773" s="203"/>
      <c r="B773" s="203"/>
      <c r="C773" s="203"/>
      <c r="D773" s="203"/>
      <c r="E773" s="203"/>
      <c r="F773" s="20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</row>
    <row r="774" ht="15.75" customHeight="1">
      <c r="A774" s="203"/>
      <c r="B774" s="203"/>
      <c r="C774" s="203"/>
      <c r="D774" s="203"/>
      <c r="E774" s="203"/>
      <c r="F774" s="20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</row>
    <row r="775" ht="15.75" customHeight="1">
      <c r="A775" s="203"/>
      <c r="B775" s="203"/>
      <c r="C775" s="203"/>
      <c r="D775" s="203"/>
      <c r="E775" s="203"/>
      <c r="F775" s="20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</row>
    <row r="776" ht="15.75" customHeight="1">
      <c r="A776" s="203"/>
      <c r="B776" s="203"/>
      <c r="C776" s="203"/>
      <c r="D776" s="203"/>
      <c r="E776" s="203"/>
      <c r="F776" s="20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</row>
    <row r="777" ht="15.75" customHeight="1">
      <c r="A777" s="203"/>
      <c r="B777" s="203"/>
      <c r="C777" s="203"/>
      <c r="D777" s="203"/>
      <c r="E777" s="203"/>
      <c r="F777" s="20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</row>
    <row r="778" ht="15.75" customHeight="1">
      <c r="A778" s="203"/>
      <c r="B778" s="203"/>
      <c r="C778" s="203"/>
      <c r="D778" s="203"/>
      <c r="E778" s="203"/>
      <c r="F778" s="20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</row>
    <row r="779" ht="15.75" customHeight="1">
      <c r="A779" s="203"/>
      <c r="B779" s="203"/>
      <c r="C779" s="203"/>
      <c r="D779" s="203"/>
      <c r="E779" s="203"/>
      <c r="F779" s="20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</row>
    <row r="780" ht="15.75" customHeight="1">
      <c r="A780" s="203"/>
      <c r="B780" s="203"/>
      <c r="C780" s="203"/>
      <c r="D780" s="203"/>
      <c r="E780" s="203"/>
      <c r="F780" s="20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</row>
    <row r="781" ht="15.75" customHeight="1">
      <c r="A781" s="203"/>
      <c r="B781" s="203"/>
      <c r="C781" s="203"/>
      <c r="D781" s="203"/>
      <c r="E781" s="203"/>
      <c r="F781" s="20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</row>
    <row r="782" ht="15.75" customHeight="1">
      <c r="A782" s="203"/>
      <c r="B782" s="203"/>
      <c r="C782" s="203"/>
      <c r="D782" s="203"/>
      <c r="E782" s="203"/>
      <c r="F782" s="20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</row>
    <row r="783" ht="15.75" customHeight="1">
      <c r="A783" s="203"/>
      <c r="B783" s="203"/>
      <c r="C783" s="203"/>
      <c r="D783" s="203"/>
      <c r="E783" s="203"/>
      <c r="F783" s="20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</row>
    <row r="784" ht="15.75" customHeight="1">
      <c r="A784" s="203"/>
      <c r="B784" s="203"/>
      <c r="C784" s="203"/>
      <c r="D784" s="203"/>
      <c r="E784" s="203"/>
      <c r="F784" s="20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</row>
    <row r="785" ht="15.75" customHeight="1">
      <c r="A785" s="203"/>
      <c r="B785" s="203"/>
      <c r="C785" s="203"/>
      <c r="D785" s="203"/>
      <c r="E785" s="203"/>
      <c r="F785" s="20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</row>
    <row r="786" ht="15.75" customHeight="1">
      <c r="A786" s="203"/>
      <c r="B786" s="203"/>
      <c r="C786" s="203"/>
      <c r="D786" s="203"/>
      <c r="E786" s="203"/>
      <c r="F786" s="20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</row>
    <row r="787" ht="15.75" customHeight="1">
      <c r="A787" s="203"/>
      <c r="B787" s="203"/>
      <c r="C787" s="203"/>
      <c r="D787" s="203"/>
      <c r="E787" s="203"/>
      <c r="F787" s="20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</row>
    <row r="788" ht="15.75" customHeight="1">
      <c r="A788" s="203"/>
      <c r="B788" s="203"/>
      <c r="C788" s="203"/>
      <c r="D788" s="203"/>
      <c r="E788" s="203"/>
      <c r="F788" s="20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</row>
    <row r="789" ht="15.75" customHeight="1">
      <c r="A789" s="203"/>
      <c r="B789" s="203"/>
      <c r="C789" s="203"/>
      <c r="D789" s="203"/>
      <c r="E789" s="203"/>
      <c r="F789" s="20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</row>
    <row r="790" ht="15.75" customHeight="1">
      <c r="A790" s="203"/>
      <c r="B790" s="203"/>
      <c r="C790" s="203"/>
      <c r="D790" s="203"/>
      <c r="E790" s="203"/>
      <c r="F790" s="20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</row>
    <row r="791" ht="15.75" customHeight="1">
      <c r="A791" s="203"/>
      <c r="B791" s="203"/>
      <c r="C791" s="203"/>
      <c r="D791" s="203"/>
      <c r="E791" s="203"/>
      <c r="F791" s="20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</row>
    <row r="792" ht="15.75" customHeight="1">
      <c r="A792" s="203"/>
      <c r="B792" s="203"/>
      <c r="C792" s="203"/>
      <c r="D792" s="203"/>
      <c r="E792" s="203"/>
      <c r="F792" s="20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</row>
    <row r="793" ht="15.75" customHeight="1">
      <c r="A793" s="203"/>
      <c r="B793" s="203"/>
      <c r="C793" s="203"/>
      <c r="D793" s="203"/>
      <c r="E793" s="203"/>
      <c r="F793" s="20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</row>
    <row r="794" ht="15.75" customHeight="1">
      <c r="A794" s="203"/>
      <c r="B794" s="203"/>
      <c r="C794" s="203"/>
      <c r="D794" s="203"/>
      <c r="E794" s="203"/>
      <c r="F794" s="20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</row>
    <row r="795" ht="15.75" customHeight="1">
      <c r="A795" s="203"/>
      <c r="B795" s="203"/>
      <c r="C795" s="203"/>
      <c r="D795" s="203"/>
      <c r="E795" s="203"/>
      <c r="F795" s="20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</row>
    <row r="796" ht="15.75" customHeight="1">
      <c r="A796" s="203"/>
      <c r="B796" s="203"/>
      <c r="C796" s="203"/>
      <c r="D796" s="203"/>
      <c r="E796" s="203"/>
      <c r="F796" s="20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</row>
    <row r="797" ht="15.75" customHeight="1">
      <c r="A797" s="203"/>
      <c r="B797" s="203"/>
      <c r="C797" s="203"/>
      <c r="D797" s="203"/>
      <c r="E797" s="203"/>
      <c r="F797" s="20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</row>
    <row r="798" ht="15.75" customHeight="1">
      <c r="A798" s="203"/>
      <c r="B798" s="203"/>
      <c r="C798" s="203"/>
      <c r="D798" s="203"/>
      <c r="E798" s="203"/>
      <c r="F798" s="20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</row>
    <row r="799" ht="15.75" customHeight="1">
      <c r="A799" s="203"/>
      <c r="B799" s="203"/>
      <c r="C799" s="203"/>
      <c r="D799" s="203"/>
      <c r="E799" s="203"/>
      <c r="F799" s="20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</row>
    <row r="800" ht="15.75" customHeight="1">
      <c r="A800" s="203"/>
      <c r="B800" s="203"/>
      <c r="C800" s="203"/>
      <c r="D800" s="203"/>
      <c r="E800" s="203"/>
      <c r="F800" s="20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</row>
    <row r="801" ht="15.75" customHeight="1">
      <c r="A801" s="203"/>
      <c r="B801" s="203"/>
      <c r="C801" s="203"/>
      <c r="D801" s="203"/>
      <c r="E801" s="203"/>
      <c r="F801" s="20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</row>
    <row r="802" ht="15.75" customHeight="1">
      <c r="A802" s="203"/>
      <c r="B802" s="203"/>
      <c r="C802" s="203"/>
      <c r="D802" s="203"/>
      <c r="E802" s="203"/>
      <c r="F802" s="20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</row>
    <row r="803" ht="15.75" customHeight="1">
      <c r="A803" s="203"/>
      <c r="B803" s="203"/>
      <c r="C803" s="203"/>
      <c r="D803" s="203"/>
      <c r="E803" s="203"/>
      <c r="F803" s="20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</row>
    <row r="804" ht="15.75" customHeight="1">
      <c r="A804" s="203"/>
      <c r="B804" s="203"/>
      <c r="C804" s="203"/>
      <c r="D804" s="203"/>
      <c r="E804" s="203"/>
      <c r="F804" s="20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</row>
    <row r="805" ht="15.75" customHeight="1">
      <c r="A805" s="203"/>
      <c r="B805" s="203"/>
      <c r="C805" s="203"/>
      <c r="D805" s="203"/>
      <c r="E805" s="203"/>
      <c r="F805" s="20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</row>
    <row r="806" ht="15.75" customHeight="1">
      <c r="A806" s="203"/>
      <c r="B806" s="203"/>
      <c r="C806" s="203"/>
      <c r="D806" s="203"/>
      <c r="E806" s="203"/>
      <c r="F806" s="20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</row>
    <row r="807" ht="15.75" customHeight="1">
      <c r="A807" s="203"/>
      <c r="B807" s="203"/>
      <c r="C807" s="203"/>
      <c r="D807" s="203"/>
      <c r="E807" s="203"/>
      <c r="F807" s="20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</row>
    <row r="808" ht="15.75" customHeight="1">
      <c r="A808" s="203"/>
      <c r="B808" s="203"/>
      <c r="C808" s="203"/>
      <c r="D808" s="203"/>
      <c r="E808" s="203"/>
      <c r="F808" s="20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</row>
    <row r="809" ht="15.75" customHeight="1">
      <c r="A809" s="203"/>
      <c r="B809" s="203"/>
      <c r="C809" s="203"/>
      <c r="D809" s="203"/>
      <c r="E809" s="203"/>
      <c r="F809" s="20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</row>
    <row r="810" ht="15.75" customHeight="1">
      <c r="A810" s="203"/>
      <c r="B810" s="203"/>
      <c r="C810" s="203"/>
      <c r="D810" s="203"/>
      <c r="E810" s="203"/>
      <c r="F810" s="20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</row>
    <row r="811" ht="15.75" customHeight="1">
      <c r="A811" s="203"/>
      <c r="B811" s="203"/>
      <c r="C811" s="203"/>
      <c r="D811" s="203"/>
      <c r="E811" s="203"/>
      <c r="F811" s="20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</row>
    <row r="812" ht="15.75" customHeight="1">
      <c r="A812" s="203"/>
      <c r="B812" s="203"/>
      <c r="C812" s="203"/>
      <c r="D812" s="203"/>
      <c r="E812" s="203"/>
      <c r="F812" s="20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</row>
    <row r="813" ht="15.75" customHeight="1">
      <c r="A813" s="203"/>
      <c r="B813" s="203"/>
      <c r="C813" s="203"/>
      <c r="D813" s="203"/>
      <c r="E813" s="203"/>
      <c r="F813" s="20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</row>
    <row r="814" ht="15.75" customHeight="1">
      <c r="A814" s="203"/>
      <c r="B814" s="203"/>
      <c r="C814" s="203"/>
      <c r="D814" s="203"/>
      <c r="E814" s="203"/>
      <c r="F814" s="20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</row>
    <row r="815" ht="15.75" customHeight="1">
      <c r="A815" s="203"/>
      <c r="B815" s="203"/>
      <c r="C815" s="203"/>
      <c r="D815" s="203"/>
      <c r="E815" s="203"/>
      <c r="F815" s="20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</row>
    <row r="816" ht="15.75" customHeight="1">
      <c r="A816" s="203"/>
      <c r="B816" s="203"/>
      <c r="C816" s="203"/>
      <c r="D816" s="203"/>
      <c r="E816" s="203"/>
      <c r="F816" s="20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</row>
    <row r="817" ht="15.75" customHeight="1">
      <c r="A817" s="203"/>
      <c r="B817" s="203"/>
      <c r="C817" s="203"/>
      <c r="D817" s="203"/>
      <c r="E817" s="203"/>
      <c r="F817" s="20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</row>
    <row r="818" ht="15.75" customHeight="1">
      <c r="A818" s="203"/>
      <c r="B818" s="203"/>
      <c r="C818" s="203"/>
      <c r="D818" s="203"/>
      <c r="E818" s="203"/>
      <c r="F818" s="20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</row>
    <row r="819" ht="15.75" customHeight="1">
      <c r="A819" s="203"/>
      <c r="B819" s="203"/>
      <c r="C819" s="203"/>
      <c r="D819" s="203"/>
      <c r="E819" s="203"/>
      <c r="F819" s="20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</row>
    <row r="820" ht="15.75" customHeight="1">
      <c r="A820" s="203"/>
      <c r="B820" s="203"/>
      <c r="C820" s="203"/>
      <c r="D820" s="203"/>
      <c r="E820" s="203"/>
      <c r="F820" s="20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</row>
    <row r="821" ht="15.75" customHeight="1">
      <c r="A821" s="203"/>
      <c r="B821" s="203"/>
      <c r="C821" s="203"/>
      <c r="D821" s="203"/>
      <c r="E821" s="203"/>
      <c r="F821" s="20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</row>
    <row r="822" ht="15.75" customHeight="1">
      <c r="A822" s="203"/>
      <c r="B822" s="203"/>
      <c r="C822" s="203"/>
      <c r="D822" s="203"/>
      <c r="E822" s="203"/>
      <c r="F822" s="20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</row>
    <row r="823" ht="15.75" customHeight="1">
      <c r="A823" s="203"/>
      <c r="B823" s="203"/>
      <c r="C823" s="203"/>
      <c r="D823" s="203"/>
      <c r="E823" s="203"/>
      <c r="F823" s="20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</row>
    <row r="824" ht="15.75" customHeight="1">
      <c r="A824" s="203"/>
      <c r="B824" s="203"/>
      <c r="C824" s="203"/>
      <c r="D824" s="203"/>
      <c r="E824" s="203"/>
      <c r="F824" s="20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</row>
    <row r="825" ht="15.75" customHeight="1">
      <c r="A825" s="203"/>
      <c r="B825" s="203"/>
      <c r="C825" s="203"/>
      <c r="D825" s="203"/>
      <c r="E825" s="203"/>
      <c r="F825" s="20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</row>
    <row r="826" ht="15.75" customHeight="1">
      <c r="A826" s="203"/>
      <c r="B826" s="203"/>
      <c r="C826" s="203"/>
      <c r="D826" s="203"/>
      <c r="E826" s="203"/>
      <c r="F826" s="20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</row>
    <row r="827" ht="15.75" customHeight="1">
      <c r="A827" s="203"/>
      <c r="B827" s="203"/>
      <c r="C827" s="203"/>
      <c r="D827" s="203"/>
      <c r="E827" s="203"/>
      <c r="F827" s="20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</row>
    <row r="828" ht="15.75" customHeight="1">
      <c r="A828" s="203"/>
      <c r="B828" s="203"/>
      <c r="C828" s="203"/>
      <c r="D828" s="203"/>
      <c r="E828" s="203"/>
      <c r="F828" s="20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</row>
    <row r="829" ht="15.75" customHeight="1">
      <c r="A829" s="203"/>
      <c r="B829" s="203"/>
      <c r="C829" s="203"/>
      <c r="D829" s="203"/>
      <c r="E829" s="203"/>
      <c r="F829" s="20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</row>
    <row r="830" ht="15.75" customHeight="1">
      <c r="A830" s="203"/>
      <c r="B830" s="203"/>
      <c r="C830" s="203"/>
      <c r="D830" s="203"/>
      <c r="E830" s="203"/>
      <c r="F830" s="20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</row>
    <row r="831" ht="15.75" customHeight="1">
      <c r="A831" s="203"/>
      <c r="B831" s="203"/>
      <c r="C831" s="203"/>
      <c r="D831" s="203"/>
      <c r="E831" s="203"/>
      <c r="F831" s="20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</row>
    <row r="832" ht="15.75" customHeight="1">
      <c r="A832" s="203"/>
      <c r="B832" s="203"/>
      <c r="C832" s="203"/>
      <c r="D832" s="203"/>
      <c r="E832" s="203"/>
      <c r="F832" s="20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</row>
    <row r="833" ht="15.75" customHeight="1">
      <c r="A833" s="203"/>
      <c r="B833" s="203"/>
      <c r="C833" s="203"/>
      <c r="D833" s="203"/>
      <c r="E833" s="203"/>
      <c r="F833" s="20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</row>
    <row r="834" ht="15.75" customHeight="1">
      <c r="A834" s="203"/>
      <c r="B834" s="203"/>
      <c r="C834" s="203"/>
      <c r="D834" s="203"/>
      <c r="E834" s="203"/>
      <c r="F834" s="20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</row>
    <row r="835" ht="15.75" customHeight="1">
      <c r="A835" s="203"/>
      <c r="B835" s="203"/>
      <c r="C835" s="203"/>
      <c r="D835" s="203"/>
      <c r="E835" s="203"/>
      <c r="F835" s="20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</row>
    <row r="836" ht="15.75" customHeight="1">
      <c r="A836" s="203"/>
      <c r="B836" s="203"/>
      <c r="C836" s="203"/>
      <c r="D836" s="203"/>
      <c r="E836" s="203"/>
      <c r="F836" s="20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</row>
    <row r="837" ht="15.75" customHeight="1">
      <c r="A837" s="203"/>
      <c r="B837" s="203"/>
      <c r="C837" s="203"/>
      <c r="D837" s="203"/>
      <c r="E837" s="203"/>
      <c r="F837" s="20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</row>
    <row r="838" ht="15.75" customHeight="1">
      <c r="A838" s="203"/>
      <c r="B838" s="203"/>
      <c r="C838" s="203"/>
      <c r="D838" s="203"/>
      <c r="E838" s="203"/>
      <c r="F838" s="20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</row>
    <row r="839" ht="15.75" customHeight="1">
      <c r="A839" s="203"/>
      <c r="B839" s="203"/>
      <c r="C839" s="203"/>
      <c r="D839" s="203"/>
      <c r="E839" s="203"/>
      <c r="F839" s="20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</row>
    <row r="840" ht="15.75" customHeight="1">
      <c r="A840" s="203"/>
      <c r="B840" s="203"/>
      <c r="C840" s="203"/>
      <c r="D840" s="203"/>
      <c r="E840" s="203"/>
      <c r="F840" s="20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</row>
    <row r="841" ht="15.75" customHeight="1">
      <c r="A841" s="203"/>
      <c r="B841" s="203"/>
      <c r="C841" s="203"/>
      <c r="D841" s="203"/>
      <c r="E841" s="203"/>
      <c r="F841" s="20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</row>
    <row r="842" ht="15.75" customHeight="1">
      <c r="A842" s="203"/>
      <c r="B842" s="203"/>
      <c r="C842" s="203"/>
      <c r="D842" s="203"/>
      <c r="E842" s="203"/>
      <c r="F842" s="20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</row>
    <row r="843" ht="15.75" customHeight="1">
      <c r="A843" s="203"/>
      <c r="B843" s="203"/>
      <c r="C843" s="203"/>
      <c r="D843" s="203"/>
      <c r="E843" s="203"/>
      <c r="F843" s="20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</row>
    <row r="844" ht="15.75" customHeight="1">
      <c r="A844" s="203"/>
      <c r="B844" s="203"/>
      <c r="C844" s="203"/>
      <c r="D844" s="203"/>
      <c r="E844" s="203"/>
      <c r="F844" s="20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</row>
    <row r="845" ht="15.75" customHeight="1">
      <c r="A845" s="203"/>
      <c r="B845" s="203"/>
      <c r="C845" s="203"/>
      <c r="D845" s="203"/>
      <c r="E845" s="203"/>
      <c r="F845" s="20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</row>
    <row r="846" ht="15.75" customHeight="1">
      <c r="A846" s="203"/>
      <c r="B846" s="203"/>
      <c r="C846" s="203"/>
      <c r="D846" s="203"/>
      <c r="E846" s="203"/>
      <c r="F846" s="20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</row>
    <row r="847" ht="15.75" customHeight="1">
      <c r="A847" s="203"/>
      <c r="B847" s="203"/>
      <c r="C847" s="203"/>
      <c r="D847" s="203"/>
      <c r="E847" s="203"/>
      <c r="F847" s="20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</row>
    <row r="848" ht="15.75" customHeight="1">
      <c r="A848" s="203"/>
      <c r="B848" s="203"/>
      <c r="C848" s="203"/>
      <c r="D848" s="203"/>
      <c r="E848" s="203"/>
      <c r="F848" s="20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</row>
    <row r="849" ht="15.75" customHeight="1">
      <c r="A849" s="203"/>
      <c r="B849" s="203"/>
      <c r="C849" s="203"/>
      <c r="D849" s="203"/>
      <c r="E849" s="203"/>
      <c r="F849" s="20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</row>
    <row r="850" ht="15.75" customHeight="1">
      <c r="A850" s="203"/>
      <c r="B850" s="203"/>
      <c r="C850" s="203"/>
      <c r="D850" s="203"/>
      <c r="E850" s="203"/>
      <c r="F850" s="20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</row>
    <row r="851" ht="15.75" customHeight="1">
      <c r="A851" s="203"/>
      <c r="B851" s="203"/>
      <c r="C851" s="203"/>
      <c r="D851" s="203"/>
      <c r="E851" s="203"/>
      <c r="F851" s="20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</row>
    <row r="852" ht="15.75" customHeight="1">
      <c r="A852" s="203"/>
      <c r="B852" s="203"/>
      <c r="C852" s="203"/>
      <c r="D852" s="203"/>
      <c r="E852" s="203"/>
      <c r="F852" s="20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</row>
    <row r="853" ht="15.75" customHeight="1">
      <c r="A853" s="203"/>
      <c r="B853" s="203"/>
      <c r="C853" s="203"/>
      <c r="D853" s="203"/>
      <c r="E853" s="203"/>
      <c r="F853" s="20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</row>
    <row r="854" ht="15.75" customHeight="1">
      <c r="A854" s="203"/>
      <c r="B854" s="203"/>
      <c r="C854" s="203"/>
      <c r="D854" s="203"/>
      <c r="E854" s="203"/>
      <c r="F854" s="20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</row>
    <row r="855" ht="15.75" customHeight="1">
      <c r="A855" s="203"/>
      <c r="B855" s="203"/>
      <c r="C855" s="203"/>
      <c r="D855" s="203"/>
      <c r="E855" s="203"/>
      <c r="F855" s="20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</row>
    <row r="856" ht="15.75" customHeight="1">
      <c r="A856" s="203"/>
      <c r="B856" s="203"/>
      <c r="C856" s="203"/>
      <c r="D856" s="203"/>
      <c r="E856" s="203"/>
      <c r="F856" s="20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</row>
    <row r="857" ht="15.75" customHeight="1">
      <c r="A857" s="203"/>
      <c r="B857" s="203"/>
      <c r="C857" s="203"/>
      <c r="D857" s="203"/>
      <c r="E857" s="203"/>
      <c r="F857" s="20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</row>
    <row r="858" ht="15.75" customHeight="1">
      <c r="A858" s="203"/>
      <c r="B858" s="203"/>
      <c r="C858" s="203"/>
      <c r="D858" s="203"/>
      <c r="E858" s="203"/>
      <c r="F858" s="20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</row>
    <row r="859" ht="15.75" customHeight="1">
      <c r="A859" s="203"/>
      <c r="B859" s="203"/>
      <c r="C859" s="203"/>
      <c r="D859" s="203"/>
      <c r="E859" s="203"/>
      <c r="F859" s="20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</row>
    <row r="860" ht="15.75" customHeight="1">
      <c r="A860" s="203"/>
      <c r="B860" s="203"/>
      <c r="C860" s="203"/>
      <c r="D860" s="203"/>
      <c r="E860" s="203"/>
      <c r="F860" s="20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</row>
    <row r="861" ht="15.75" customHeight="1">
      <c r="A861" s="203"/>
      <c r="B861" s="203"/>
      <c r="C861" s="203"/>
      <c r="D861" s="203"/>
      <c r="E861" s="203"/>
      <c r="F861" s="20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</row>
    <row r="862" ht="15.75" customHeight="1">
      <c r="A862" s="203"/>
      <c r="B862" s="203"/>
      <c r="C862" s="203"/>
      <c r="D862" s="203"/>
      <c r="E862" s="203"/>
      <c r="F862" s="20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</row>
    <row r="863" ht="15.75" customHeight="1">
      <c r="A863" s="203"/>
      <c r="B863" s="203"/>
      <c r="C863" s="203"/>
      <c r="D863" s="203"/>
      <c r="E863" s="203"/>
      <c r="F863" s="20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</row>
    <row r="864" ht="15.75" customHeight="1">
      <c r="A864" s="203"/>
      <c r="B864" s="203"/>
      <c r="C864" s="203"/>
      <c r="D864" s="203"/>
      <c r="E864" s="203"/>
      <c r="F864" s="20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</row>
    <row r="865" ht="15.75" customHeight="1">
      <c r="A865" s="203"/>
      <c r="B865" s="203"/>
      <c r="C865" s="203"/>
      <c r="D865" s="203"/>
      <c r="E865" s="203"/>
      <c r="F865" s="20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</row>
    <row r="866" ht="15.75" customHeight="1">
      <c r="A866" s="203"/>
      <c r="B866" s="203"/>
      <c r="C866" s="203"/>
      <c r="D866" s="203"/>
      <c r="E866" s="203"/>
      <c r="F866" s="20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</row>
    <row r="867" ht="15.75" customHeight="1">
      <c r="A867" s="203"/>
      <c r="B867" s="203"/>
      <c r="C867" s="203"/>
      <c r="D867" s="203"/>
      <c r="E867" s="203"/>
      <c r="F867" s="20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</row>
    <row r="868" ht="15.75" customHeight="1">
      <c r="A868" s="203"/>
      <c r="B868" s="203"/>
      <c r="C868" s="203"/>
      <c r="D868" s="203"/>
      <c r="E868" s="203"/>
      <c r="F868" s="20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</row>
    <row r="869" ht="15.75" customHeight="1">
      <c r="A869" s="203"/>
      <c r="B869" s="203"/>
      <c r="C869" s="203"/>
      <c r="D869" s="203"/>
      <c r="E869" s="203"/>
      <c r="F869" s="20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</row>
    <row r="870" ht="15.75" customHeight="1">
      <c r="A870" s="203"/>
      <c r="B870" s="203"/>
      <c r="C870" s="203"/>
      <c r="D870" s="203"/>
      <c r="E870" s="203"/>
      <c r="F870" s="20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</row>
    <row r="871" ht="15.75" customHeight="1">
      <c r="A871" s="203"/>
      <c r="B871" s="203"/>
      <c r="C871" s="203"/>
      <c r="D871" s="203"/>
      <c r="E871" s="203"/>
      <c r="F871" s="20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</row>
    <row r="872" ht="15.75" customHeight="1">
      <c r="A872" s="203"/>
      <c r="B872" s="203"/>
      <c r="C872" s="203"/>
      <c r="D872" s="203"/>
      <c r="E872" s="203"/>
      <c r="F872" s="20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</row>
    <row r="873" ht="15.75" customHeight="1">
      <c r="A873" s="203"/>
      <c r="B873" s="203"/>
      <c r="C873" s="203"/>
      <c r="D873" s="203"/>
      <c r="E873" s="203"/>
      <c r="F873" s="20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</row>
    <row r="874" ht="15.75" customHeight="1">
      <c r="A874" s="203"/>
      <c r="B874" s="203"/>
      <c r="C874" s="203"/>
      <c r="D874" s="203"/>
      <c r="E874" s="203"/>
      <c r="F874" s="20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</row>
    <row r="875" ht="15.75" customHeight="1">
      <c r="A875" s="203"/>
      <c r="B875" s="203"/>
      <c r="C875" s="203"/>
      <c r="D875" s="203"/>
      <c r="E875" s="203"/>
      <c r="F875" s="20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</row>
    <row r="876" ht="15.75" customHeight="1">
      <c r="A876" s="203"/>
      <c r="B876" s="203"/>
      <c r="C876" s="203"/>
      <c r="D876" s="203"/>
      <c r="E876" s="203"/>
      <c r="F876" s="20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</row>
    <row r="877" ht="15.75" customHeight="1">
      <c r="A877" s="203"/>
      <c r="B877" s="203"/>
      <c r="C877" s="203"/>
      <c r="D877" s="203"/>
      <c r="E877" s="203"/>
      <c r="F877" s="20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</row>
    <row r="878" ht="15.75" customHeight="1">
      <c r="A878" s="203"/>
      <c r="B878" s="203"/>
      <c r="C878" s="203"/>
      <c r="D878" s="203"/>
      <c r="E878" s="203"/>
      <c r="F878" s="20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</row>
    <row r="879" ht="15.75" customHeight="1">
      <c r="A879" s="203"/>
      <c r="B879" s="203"/>
      <c r="C879" s="203"/>
      <c r="D879" s="203"/>
      <c r="E879" s="203"/>
      <c r="F879" s="20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</row>
    <row r="880" ht="15.75" customHeight="1">
      <c r="A880" s="203"/>
      <c r="B880" s="203"/>
      <c r="C880" s="203"/>
      <c r="D880" s="203"/>
      <c r="E880" s="203"/>
      <c r="F880" s="20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</row>
    <row r="881" ht="15.75" customHeight="1">
      <c r="A881" s="203"/>
      <c r="B881" s="203"/>
      <c r="C881" s="203"/>
      <c r="D881" s="203"/>
      <c r="E881" s="203"/>
      <c r="F881" s="20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</row>
    <row r="882" ht="15.75" customHeight="1">
      <c r="A882" s="203"/>
      <c r="B882" s="203"/>
      <c r="C882" s="203"/>
      <c r="D882" s="203"/>
      <c r="E882" s="203"/>
      <c r="F882" s="20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</row>
    <row r="883" ht="15.75" customHeight="1">
      <c r="A883" s="203"/>
      <c r="B883" s="203"/>
      <c r="C883" s="203"/>
      <c r="D883" s="203"/>
      <c r="E883" s="203"/>
      <c r="F883" s="20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</row>
    <row r="884" ht="15.75" customHeight="1">
      <c r="A884" s="203"/>
      <c r="B884" s="203"/>
      <c r="C884" s="203"/>
      <c r="D884" s="203"/>
      <c r="E884" s="203"/>
      <c r="F884" s="20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</row>
    <row r="885" ht="15.75" customHeight="1">
      <c r="A885" s="203"/>
      <c r="B885" s="203"/>
      <c r="C885" s="203"/>
      <c r="D885" s="203"/>
      <c r="E885" s="203"/>
      <c r="F885" s="20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</row>
    <row r="886" ht="15.75" customHeight="1">
      <c r="A886" s="203"/>
      <c r="B886" s="203"/>
      <c r="C886" s="203"/>
      <c r="D886" s="203"/>
      <c r="E886" s="203"/>
      <c r="F886" s="20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</row>
    <row r="887" ht="15.75" customHeight="1">
      <c r="A887" s="203"/>
      <c r="B887" s="203"/>
      <c r="C887" s="203"/>
      <c r="D887" s="203"/>
      <c r="E887" s="203"/>
      <c r="F887" s="20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</row>
    <row r="888" ht="15.75" customHeight="1">
      <c r="A888" s="203"/>
      <c r="B888" s="203"/>
      <c r="C888" s="203"/>
      <c r="D888" s="203"/>
      <c r="E888" s="203"/>
      <c r="F888" s="20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</row>
    <row r="889" ht="15.75" customHeight="1">
      <c r="A889" s="203"/>
      <c r="B889" s="203"/>
      <c r="C889" s="203"/>
      <c r="D889" s="203"/>
      <c r="E889" s="203"/>
      <c r="F889" s="20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</row>
    <row r="890" ht="15.75" customHeight="1">
      <c r="A890" s="203"/>
      <c r="B890" s="203"/>
      <c r="C890" s="203"/>
      <c r="D890" s="203"/>
      <c r="E890" s="203"/>
      <c r="F890" s="20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</row>
    <row r="891" ht="15.75" customHeight="1">
      <c r="A891" s="203"/>
      <c r="B891" s="203"/>
      <c r="C891" s="203"/>
      <c r="D891" s="203"/>
      <c r="E891" s="203"/>
      <c r="F891" s="20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</row>
    <row r="892" ht="15.75" customHeight="1">
      <c r="A892" s="203"/>
      <c r="B892" s="203"/>
      <c r="C892" s="203"/>
      <c r="D892" s="203"/>
      <c r="E892" s="203"/>
      <c r="F892" s="20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</row>
    <row r="893" ht="15.75" customHeight="1">
      <c r="A893" s="203"/>
      <c r="B893" s="203"/>
      <c r="C893" s="203"/>
      <c r="D893" s="203"/>
      <c r="E893" s="203"/>
      <c r="F893" s="20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</row>
    <row r="894" ht="15.75" customHeight="1">
      <c r="A894" s="203"/>
      <c r="B894" s="203"/>
      <c r="C894" s="203"/>
      <c r="D894" s="203"/>
      <c r="E894" s="203"/>
      <c r="F894" s="20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</row>
    <row r="895" ht="15.75" customHeight="1">
      <c r="A895" s="203"/>
      <c r="B895" s="203"/>
      <c r="C895" s="203"/>
      <c r="D895" s="203"/>
      <c r="E895" s="203"/>
      <c r="F895" s="20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</row>
    <row r="896" ht="15.75" customHeight="1">
      <c r="A896" s="203"/>
      <c r="B896" s="203"/>
      <c r="C896" s="203"/>
      <c r="D896" s="203"/>
      <c r="E896" s="203"/>
      <c r="F896" s="20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</row>
    <row r="897" ht="15.75" customHeight="1">
      <c r="A897" s="203"/>
      <c r="B897" s="203"/>
      <c r="C897" s="203"/>
      <c r="D897" s="203"/>
      <c r="E897" s="203"/>
      <c r="F897" s="20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</row>
    <row r="898" ht="15.75" customHeight="1">
      <c r="A898" s="203"/>
      <c r="B898" s="203"/>
      <c r="C898" s="203"/>
      <c r="D898" s="203"/>
      <c r="E898" s="203"/>
      <c r="F898" s="20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</row>
    <row r="899" ht="15.75" customHeight="1">
      <c r="A899" s="203"/>
      <c r="B899" s="203"/>
      <c r="C899" s="203"/>
      <c r="D899" s="203"/>
      <c r="E899" s="203"/>
      <c r="F899" s="20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</row>
    <row r="900" ht="15.75" customHeight="1">
      <c r="A900" s="203"/>
      <c r="B900" s="203"/>
      <c r="C900" s="203"/>
      <c r="D900" s="203"/>
      <c r="E900" s="203"/>
      <c r="F900" s="20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</row>
    <row r="901" ht="15.75" customHeight="1">
      <c r="A901" s="203"/>
      <c r="B901" s="203"/>
      <c r="C901" s="203"/>
      <c r="D901" s="203"/>
      <c r="E901" s="203"/>
      <c r="F901" s="20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</row>
    <row r="902" ht="15.75" customHeight="1">
      <c r="A902" s="203"/>
      <c r="B902" s="203"/>
      <c r="C902" s="203"/>
      <c r="D902" s="203"/>
      <c r="E902" s="203"/>
      <c r="F902" s="20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</row>
    <row r="903" ht="15.75" customHeight="1">
      <c r="A903" s="203"/>
      <c r="B903" s="203"/>
      <c r="C903" s="203"/>
      <c r="D903" s="203"/>
      <c r="E903" s="203"/>
      <c r="F903" s="20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</row>
    <row r="904" ht="15.75" customHeight="1">
      <c r="A904" s="203"/>
      <c r="B904" s="203"/>
      <c r="C904" s="203"/>
      <c r="D904" s="203"/>
      <c r="E904" s="203"/>
      <c r="F904" s="20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</row>
    <row r="905" ht="15.75" customHeight="1">
      <c r="A905" s="203"/>
      <c r="B905" s="203"/>
      <c r="C905" s="203"/>
      <c r="D905" s="203"/>
      <c r="E905" s="203"/>
      <c r="F905" s="20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</row>
    <row r="906" ht="15.75" customHeight="1">
      <c r="A906" s="203"/>
      <c r="B906" s="203"/>
      <c r="C906" s="203"/>
      <c r="D906" s="203"/>
      <c r="E906" s="203"/>
      <c r="F906" s="20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</row>
    <row r="907" ht="15.75" customHeight="1">
      <c r="A907" s="203"/>
      <c r="B907" s="203"/>
      <c r="C907" s="203"/>
      <c r="D907" s="203"/>
      <c r="E907" s="203"/>
      <c r="F907" s="20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</row>
    <row r="908" ht="15.75" customHeight="1">
      <c r="A908" s="203"/>
      <c r="B908" s="203"/>
      <c r="C908" s="203"/>
      <c r="D908" s="203"/>
      <c r="E908" s="203"/>
      <c r="F908" s="20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</row>
    <row r="909" ht="15.75" customHeight="1">
      <c r="A909" s="203"/>
      <c r="B909" s="203"/>
      <c r="C909" s="203"/>
      <c r="D909" s="203"/>
      <c r="E909" s="203"/>
      <c r="F909" s="20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</row>
    <row r="910" ht="15.75" customHeight="1">
      <c r="A910" s="203"/>
      <c r="B910" s="203"/>
      <c r="C910" s="203"/>
      <c r="D910" s="203"/>
      <c r="E910" s="203"/>
      <c r="F910" s="20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</row>
    <row r="911" ht="15.75" customHeight="1">
      <c r="A911" s="203"/>
      <c r="B911" s="203"/>
      <c r="C911" s="203"/>
      <c r="D911" s="203"/>
      <c r="E911" s="203"/>
      <c r="F911" s="20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</row>
    <row r="912" ht="15.75" customHeight="1">
      <c r="A912" s="203"/>
      <c r="B912" s="203"/>
      <c r="C912" s="203"/>
      <c r="D912" s="203"/>
      <c r="E912" s="203"/>
      <c r="F912" s="20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</row>
    <row r="913" ht="15.75" customHeight="1">
      <c r="A913" s="203"/>
      <c r="B913" s="203"/>
      <c r="C913" s="203"/>
      <c r="D913" s="203"/>
      <c r="E913" s="203"/>
      <c r="F913" s="20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</row>
    <row r="914" ht="15.75" customHeight="1">
      <c r="A914" s="203"/>
      <c r="B914" s="203"/>
      <c r="C914" s="203"/>
      <c r="D914" s="203"/>
      <c r="E914" s="203"/>
      <c r="F914" s="20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</row>
    <row r="915" ht="15.75" customHeight="1">
      <c r="A915" s="203"/>
      <c r="B915" s="203"/>
      <c r="C915" s="203"/>
      <c r="D915" s="203"/>
      <c r="E915" s="203"/>
      <c r="F915" s="20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</row>
    <row r="916" ht="15.75" customHeight="1">
      <c r="A916" s="203"/>
      <c r="B916" s="203"/>
      <c r="C916" s="203"/>
      <c r="D916" s="203"/>
      <c r="E916" s="203"/>
      <c r="F916" s="20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</row>
    <row r="917" ht="15.75" customHeight="1">
      <c r="A917" s="203"/>
      <c r="B917" s="203"/>
      <c r="C917" s="203"/>
      <c r="D917" s="203"/>
      <c r="E917" s="203"/>
      <c r="F917" s="20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</row>
    <row r="918" ht="15.75" customHeight="1">
      <c r="A918" s="203"/>
      <c r="B918" s="203"/>
      <c r="C918" s="203"/>
      <c r="D918" s="203"/>
      <c r="E918" s="203"/>
      <c r="F918" s="20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</row>
    <row r="919" ht="15.75" customHeight="1">
      <c r="A919" s="203"/>
      <c r="B919" s="203"/>
      <c r="C919" s="203"/>
      <c r="D919" s="203"/>
      <c r="E919" s="203"/>
      <c r="F919" s="20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</row>
    <row r="920" ht="15.75" customHeight="1">
      <c r="A920" s="203"/>
      <c r="B920" s="203"/>
      <c r="C920" s="203"/>
      <c r="D920" s="203"/>
      <c r="E920" s="203"/>
      <c r="F920" s="20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</row>
    <row r="921" ht="15.75" customHeight="1">
      <c r="A921" s="203"/>
      <c r="B921" s="203"/>
      <c r="C921" s="203"/>
      <c r="D921" s="203"/>
      <c r="E921" s="203"/>
      <c r="F921" s="20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</row>
    <row r="922" ht="15.75" customHeight="1">
      <c r="A922" s="203"/>
      <c r="B922" s="203"/>
      <c r="C922" s="203"/>
      <c r="D922" s="203"/>
      <c r="E922" s="203"/>
      <c r="F922" s="20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</row>
    <row r="923" ht="15.75" customHeight="1">
      <c r="A923" s="203"/>
      <c r="B923" s="203"/>
      <c r="C923" s="203"/>
      <c r="D923" s="203"/>
      <c r="E923" s="203"/>
      <c r="F923" s="20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</row>
    <row r="924" ht="15.75" customHeight="1">
      <c r="A924" s="203"/>
      <c r="B924" s="203"/>
      <c r="C924" s="203"/>
      <c r="D924" s="203"/>
      <c r="E924" s="203"/>
      <c r="F924" s="20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</row>
    <row r="925" ht="15.75" customHeight="1">
      <c r="A925" s="203"/>
      <c r="B925" s="203"/>
      <c r="C925" s="203"/>
      <c r="D925" s="203"/>
      <c r="E925" s="203"/>
      <c r="F925" s="20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</row>
    <row r="926" ht="15.75" customHeight="1">
      <c r="A926" s="203"/>
      <c r="B926" s="203"/>
      <c r="C926" s="203"/>
      <c r="D926" s="203"/>
      <c r="E926" s="203"/>
      <c r="F926" s="20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</row>
    <row r="927" ht="15.75" customHeight="1">
      <c r="A927" s="203"/>
      <c r="B927" s="203"/>
      <c r="C927" s="203"/>
      <c r="D927" s="203"/>
      <c r="E927" s="203"/>
      <c r="F927" s="20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</row>
    <row r="928" ht="15.75" customHeight="1">
      <c r="A928" s="203"/>
      <c r="B928" s="203"/>
      <c r="C928" s="203"/>
      <c r="D928" s="203"/>
      <c r="E928" s="203"/>
      <c r="F928" s="20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</row>
    <row r="929" ht="15.75" customHeight="1">
      <c r="A929" s="203"/>
      <c r="B929" s="203"/>
      <c r="C929" s="203"/>
      <c r="D929" s="203"/>
      <c r="E929" s="203"/>
      <c r="F929" s="20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</row>
    <row r="930" ht="15.75" customHeight="1">
      <c r="A930" s="203"/>
      <c r="B930" s="203"/>
      <c r="C930" s="203"/>
      <c r="D930" s="203"/>
      <c r="E930" s="203"/>
      <c r="F930" s="20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</row>
    <row r="931" ht="15.75" customHeight="1">
      <c r="A931" s="203"/>
      <c r="B931" s="203"/>
      <c r="C931" s="203"/>
      <c r="D931" s="203"/>
      <c r="E931" s="203"/>
      <c r="F931" s="20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</row>
    <row r="932" ht="15.75" customHeight="1">
      <c r="A932" s="203"/>
      <c r="B932" s="203"/>
      <c r="C932" s="203"/>
      <c r="D932" s="203"/>
      <c r="E932" s="203"/>
      <c r="F932" s="20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</row>
    <row r="933" ht="15.75" customHeight="1">
      <c r="A933" s="203"/>
      <c r="B933" s="203"/>
      <c r="C933" s="203"/>
      <c r="D933" s="203"/>
      <c r="E933" s="203"/>
      <c r="F933" s="20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</row>
    <row r="934" ht="15.75" customHeight="1">
      <c r="A934" s="203"/>
      <c r="B934" s="203"/>
      <c r="C934" s="203"/>
      <c r="D934" s="203"/>
      <c r="E934" s="203"/>
      <c r="F934" s="20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</row>
    <row r="935" ht="15.75" customHeight="1">
      <c r="A935" s="203"/>
      <c r="B935" s="203"/>
      <c r="C935" s="203"/>
      <c r="D935" s="203"/>
      <c r="E935" s="203"/>
      <c r="F935" s="20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</row>
    <row r="936" ht="15.75" customHeight="1">
      <c r="A936" s="203"/>
      <c r="B936" s="203"/>
      <c r="C936" s="203"/>
      <c r="D936" s="203"/>
      <c r="E936" s="203"/>
      <c r="F936" s="20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</row>
    <row r="937" ht="15.75" customHeight="1">
      <c r="A937" s="203"/>
      <c r="B937" s="203"/>
      <c r="C937" s="203"/>
      <c r="D937" s="203"/>
      <c r="E937" s="203"/>
      <c r="F937" s="20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</row>
    <row r="938" ht="15.75" customHeight="1">
      <c r="A938" s="203"/>
      <c r="B938" s="203"/>
      <c r="C938" s="203"/>
      <c r="D938" s="203"/>
      <c r="E938" s="203"/>
      <c r="F938" s="20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</row>
    <row r="939" ht="15.75" customHeight="1">
      <c r="A939" s="203"/>
      <c r="B939" s="203"/>
      <c r="C939" s="203"/>
      <c r="D939" s="203"/>
      <c r="E939" s="203"/>
      <c r="F939" s="20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</row>
    <row r="940" ht="15.75" customHeight="1">
      <c r="A940" s="203"/>
      <c r="B940" s="203"/>
      <c r="C940" s="203"/>
      <c r="D940" s="203"/>
      <c r="E940" s="203"/>
      <c r="F940" s="20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</row>
    <row r="941" ht="15.75" customHeight="1">
      <c r="A941" s="203"/>
      <c r="B941" s="203"/>
      <c r="C941" s="203"/>
      <c r="D941" s="203"/>
      <c r="E941" s="203"/>
      <c r="F941" s="20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</row>
    <row r="942" ht="15.75" customHeight="1">
      <c r="A942" s="203"/>
      <c r="B942" s="203"/>
      <c r="C942" s="203"/>
      <c r="D942" s="203"/>
      <c r="E942" s="203"/>
      <c r="F942" s="20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</row>
    <row r="943" ht="15.75" customHeight="1">
      <c r="A943" s="203"/>
      <c r="B943" s="203"/>
      <c r="C943" s="203"/>
      <c r="D943" s="203"/>
      <c r="E943" s="203"/>
      <c r="F943" s="20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</row>
    <row r="944" ht="15.75" customHeight="1">
      <c r="A944" s="203"/>
      <c r="B944" s="203"/>
      <c r="C944" s="203"/>
      <c r="D944" s="203"/>
      <c r="E944" s="203"/>
      <c r="F944" s="20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</row>
    <row r="945" ht="15.75" customHeight="1">
      <c r="A945" s="203"/>
      <c r="B945" s="203"/>
      <c r="C945" s="203"/>
      <c r="D945" s="203"/>
      <c r="E945" s="203"/>
      <c r="F945" s="20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</row>
    <row r="946" ht="15.75" customHeight="1">
      <c r="A946" s="203"/>
      <c r="B946" s="203"/>
      <c r="C946" s="203"/>
      <c r="D946" s="203"/>
      <c r="E946" s="203"/>
      <c r="F946" s="20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</row>
    <row r="947" ht="15.75" customHeight="1">
      <c r="A947" s="203"/>
      <c r="B947" s="203"/>
      <c r="C947" s="203"/>
      <c r="D947" s="203"/>
      <c r="E947" s="203"/>
      <c r="F947" s="20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</row>
    <row r="948" ht="15.75" customHeight="1">
      <c r="A948" s="203"/>
      <c r="B948" s="203"/>
      <c r="C948" s="203"/>
      <c r="D948" s="203"/>
      <c r="E948" s="203"/>
      <c r="F948" s="20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</row>
    <row r="949" ht="15.75" customHeight="1">
      <c r="A949" s="203"/>
      <c r="B949" s="203"/>
      <c r="C949" s="203"/>
      <c r="D949" s="203"/>
      <c r="E949" s="203"/>
      <c r="F949" s="20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</row>
    <row r="950" ht="15.75" customHeight="1">
      <c r="A950" s="203"/>
      <c r="B950" s="203"/>
      <c r="C950" s="203"/>
      <c r="D950" s="203"/>
      <c r="E950" s="203"/>
      <c r="F950" s="20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</row>
    <row r="951" ht="15.75" customHeight="1">
      <c r="A951" s="203"/>
      <c r="B951" s="203"/>
      <c r="C951" s="203"/>
      <c r="D951" s="203"/>
      <c r="E951" s="203"/>
      <c r="F951" s="20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</row>
    <row r="952" ht="15.75" customHeight="1">
      <c r="A952" s="203"/>
      <c r="B952" s="203"/>
      <c r="C952" s="203"/>
      <c r="D952" s="203"/>
      <c r="E952" s="203"/>
      <c r="F952" s="20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</row>
    <row r="953" ht="15.75" customHeight="1">
      <c r="A953" s="203"/>
      <c r="B953" s="203"/>
      <c r="C953" s="203"/>
      <c r="D953" s="203"/>
      <c r="E953" s="203"/>
      <c r="F953" s="20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</row>
    <row r="954" ht="15.75" customHeight="1">
      <c r="A954" s="203"/>
      <c r="B954" s="203"/>
      <c r="C954" s="203"/>
      <c r="D954" s="203"/>
      <c r="E954" s="203"/>
      <c r="F954" s="20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</row>
    <row r="955" ht="15.75" customHeight="1">
      <c r="A955" s="203"/>
      <c r="B955" s="203"/>
      <c r="C955" s="203"/>
      <c r="D955" s="203"/>
      <c r="E955" s="203"/>
      <c r="F955" s="20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</row>
    <row r="956" ht="15.75" customHeight="1">
      <c r="A956" s="203"/>
      <c r="B956" s="203"/>
      <c r="C956" s="203"/>
      <c r="D956" s="203"/>
      <c r="E956" s="203"/>
      <c r="F956" s="20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</row>
    <row r="957" ht="15.75" customHeight="1">
      <c r="A957" s="203"/>
      <c r="B957" s="203"/>
      <c r="C957" s="203"/>
      <c r="D957" s="203"/>
      <c r="E957" s="203"/>
      <c r="F957" s="20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</row>
    <row r="958" ht="15.75" customHeight="1">
      <c r="A958" s="203"/>
      <c r="B958" s="203"/>
      <c r="C958" s="203"/>
      <c r="D958" s="203"/>
      <c r="E958" s="203"/>
      <c r="F958" s="20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</row>
    <row r="959" ht="15.75" customHeight="1">
      <c r="A959" s="203"/>
      <c r="B959" s="203"/>
      <c r="C959" s="203"/>
      <c r="D959" s="203"/>
      <c r="E959" s="203"/>
      <c r="F959" s="20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</row>
    <row r="960" ht="15.75" customHeight="1">
      <c r="A960" s="203"/>
      <c r="B960" s="203"/>
      <c r="C960" s="203"/>
      <c r="D960" s="203"/>
      <c r="E960" s="203"/>
      <c r="F960" s="20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</row>
    <row r="961" ht="15.75" customHeight="1">
      <c r="A961" s="203"/>
      <c r="B961" s="203"/>
      <c r="C961" s="203"/>
      <c r="D961" s="203"/>
      <c r="E961" s="203"/>
      <c r="F961" s="20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</row>
    <row r="962" ht="15.75" customHeight="1">
      <c r="A962" s="203"/>
      <c r="B962" s="203"/>
      <c r="C962" s="203"/>
      <c r="D962" s="203"/>
      <c r="E962" s="203"/>
      <c r="F962" s="20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</row>
    <row r="963" ht="15.75" customHeight="1">
      <c r="A963" s="203"/>
      <c r="B963" s="203"/>
      <c r="C963" s="203"/>
      <c r="D963" s="203"/>
      <c r="E963" s="203"/>
      <c r="F963" s="20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</row>
    <row r="964" ht="15.75" customHeight="1">
      <c r="A964" s="203"/>
      <c r="B964" s="203"/>
      <c r="C964" s="203"/>
      <c r="D964" s="203"/>
      <c r="E964" s="203"/>
      <c r="F964" s="20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</row>
    <row r="965" ht="15.75" customHeight="1">
      <c r="A965" s="203"/>
      <c r="B965" s="203"/>
      <c r="C965" s="203"/>
      <c r="D965" s="203"/>
      <c r="E965" s="203"/>
      <c r="F965" s="20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</row>
    <row r="966" ht="15.75" customHeight="1">
      <c r="A966" s="203"/>
      <c r="B966" s="203"/>
      <c r="C966" s="203"/>
      <c r="D966" s="203"/>
      <c r="E966" s="203"/>
      <c r="F966" s="20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</row>
    <row r="967" ht="15.75" customHeight="1">
      <c r="A967" s="203"/>
      <c r="B967" s="203"/>
      <c r="C967" s="203"/>
      <c r="D967" s="203"/>
      <c r="E967" s="203"/>
      <c r="F967" s="20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</row>
    <row r="968" ht="15.75" customHeight="1">
      <c r="A968" s="203"/>
      <c r="B968" s="203"/>
      <c r="C968" s="203"/>
      <c r="D968" s="203"/>
      <c r="E968" s="203"/>
      <c r="F968" s="20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</row>
    <row r="969" ht="15.75" customHeight="1">
      <c r="A969" s="203"/>
      <c r="B969" s="203"/>
      <c r="C969" s="203"/>
      <c r="D969" s="203"/>
      <c r="E969" s="203"/>
      <c r="F969" s="20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</row>
    <row r="970" ht="15.75" customHeight="1">
      <c r="A970" s="203"/>
      <c r="B970" s="203"/>
      <c r="C970" s="203"/>
      <c r="D970" s="203"/>
      <c r="E970" s="203"/>
      <c r="F970" s="20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</row>
    <row r="971" ht="15.75" customHeight="1">
      <c r="A971" s="203"/>
      <c r="B971" s="203"/>
      <c r="C971" s="203"/>
      <c r="D971" s="203"/>
      <c r="E971" s="203"/>
      <c r="F971" s="20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</row>
    <row r="972" ht="15.75" customHeight="1">
      <c r="A972" s="203"/>
      <c r="B972" s="203"/>
      <c r="C972" s="203"/>
      <c r="D972" s="203"/>
      <c r="E972" s="203"/>
      <c r="F972" s="20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</row>
    <row r="973" ht="15.75" customHeight="1">
      <c r="A973" s="203"/>
      <c r="B973" s="203"/>
      <c r="C973" s="203"/>
      <c r="D973" s="203"/>
      <c r="E973" s="203"/>
      <c r="F973" s="20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</row>
    <row r="974" ht="15.75" customHeight="1">
      <c r="A974" s="203"/>
      <c r="B974" s="203"/>
      <c r="C974" s="203"/>
      <c r="D974" s="203"/>
      <c r="E974" s="203"/>
      <c r="F974" s="20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</row>
    <row r="975" ht="15.75" customHeight="1">
      <c r="A975" s="203"/>
      <c r="B975" s="203"/>
      <c r="C975" s="203"/>
      <c r="D975" s="203"/>
      <c r="E975" s="203"/>
      <c r="F975" s="20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</row>
    <row r="976" ht="15.75" customHeight="1">
      <c r="A976" s="203"/>
      <c r="B976" s="203"/>
      <c r="C976" s="203"/>
      <c r="D976" s="203"/>
      <c r="E976" s="203"/>
      <c r="F976" s="20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</row>
    <row r="977" ht="15.75" customHeight="1">
      <c r="A977" s="203"/>
      <c r="B977" s="203"/>
      <c r="C977" s="203"/>
      <c r="D977" s="203"/>
      <c r="E977" s="203"/>
      <c r="F977" s="20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</row>
    <row r="978" ht="15.75" customHeight="1">
      <c r="A978" s="203"/>
      <c r="B978" s="203"/>
      <c r="C978" s="203"/>
      <c r="D978" s="203"/>
      <c r="E978" s="203"/>
      <c r="F978" s="20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</row>
    <row r="979" ht="15.75" customHeight="1">
      <c r="A979" s="203"/>
      <c r="B979" s="203"/>
      <c r="C979" s="203"/>
      <c r="D979" s="203"/>
      <c r="E979" s="203"/>
      <c r="F979" s="20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</row>
    <row r="980" ht="15.75" customHeight="1">
      <c r="A980" s="203"/>
      <c r="B980" s="203"/>
      <c r="C980" s="203"/>
      <c r="D980" s="203"/>
      <c r="E980" s="203"/>
      <c r="F980" s="20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</row>
    <row r="981" ht="15.75" customHeight="1">
      <c r="A981" s="203"/>
      <c r="B981" s="203"/>
      <c r="C981" s="203"/>
      <c r="D981" s="203"/>
      <c r="E981" s="203"/>
      <c r="F981" s="20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</row>
    <row r="982" ht="15.75" customHeight="1">
      <c r="A982" s="203"/>
      <c r="B982" s="203"/>
      <c r="C982" s="203"/>
      <c r="D982" s="203"/>
      <c r="E982" s="203"/>
      <c r="F982" s="20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</row>
    <row r="983" ht="15.75" customHeight="1">
      <c r="A983" s="203"/>
      <c r="B983" s="203"/>
      <c r="C983" s="203"/>
      <c r="D983" s="203"/>
      <c r="E983" s="203"/>
      <c r="F983" s="20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</row>
    <row r="984" ht="15.75" customHeight="1">
      <c r="A984" s="203"/>
      <c r="B984" s="203"/>
      <c r="C984" s="203"/>
      <c r="D984" s="203"/>
      <c r="E984" s="203"/>
      <c r="F984" s="20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</row>
    <row r="985" ht="15.75" customHeight="1">
      <c r="A985" s="203"/>
      <c r="B985" s="203"/>
      <c r="C985" s="203"/>
      <c r="D985" s="203"/>
      <c r="E985" s="203"/>
      <c r="F985" s="20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</row>
    <row r="986" ht="15.75" customHeight="1">
      <c r="A986" s="203"/>
      <c r="B986" s="203"/>
      <c r="C986" s="203"/>
      <c r="D986" s="203"/>
      <c r="E986" s="203"/>
      <c r="F986" s="20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</row>
    <row r="987" ht="15.75" customHeight="1">
      <c r="A987" s="203"/>
      <c r="B987" s="203"/>
      <c r="C987" s="203"/>
      <c r="D987" s="203"/>
      <c r="E987" s="203"/>
      <c r="F987" s="20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</row>
    <row r="988" ht="15.75" customHeight="1">
      <c r="A988" s="203"/>
      <c r="B988" s="203"/>
      <c r="C988" s="203"/>
      <c r="D988" s="203"/>
      <c r="E988" s="203"/>
      <c r="F988" s="20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</row>
    <row r="989" ht="15.75" customHeight="1">
      <c r="A989" s="203"/>
      <c r="B989" s="203"/>
      <c r="C989" s="203"/>
      <c r="D989" s="203"/>
      <c r="E989" s="203"/>
      <c r="F989" s="20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</row>
    <row r="990" ht="15.75" customHeight="1">
      <c r="A990" s="203"/>
      <c r="B990" s="203"/>
      <c r="C990" s="203"/>
      <c r="D990" s="203"/>
      <c r="E990" s="203"/>
      <c r="F990" s="20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</row>
    <row r="991" ht="15.75" customHeight="1">
      <c r="A991" s="203"/>
      <c r="B991" s="203"/>
      <c r="C991" s="203"/>
      <c r="D991" s="203"/>
      <c r="E991" s="203"/>
      <c r="F991" s="20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</row>
    <row r="992" ht="15.75" customHeight="1">
      <c r="A992" s="203"/>
      <c r="B992" s="203"/>
      <c r="C992" s="203"/>
      <c r="D992" s="203"/>
      <c r="E992" s="203"/>
      <c r="F992" s="20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</row>
    <row r="993" ht="15.75" customHeight="1">
      <c r="A993" s="203"/>
      <c r="B993" s="203"/>
      <c r="C993" s="203"/>
      <c r="D993" s="203"/>
      <c r="E993" s="203"/>
      <c r="F993" s="20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</row>
    <row r="994" ht="15.75" customHeight="1">
      <c r="A994" s="203"/>
      <c r="B994" s="203"/>
      <c r="C994" s="203"/>
      <c r="D994" s="203"/>
      <c r="E994" s="203"/>
      <c r="F994" s="20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</row>
    <row r="995" ht="15.75" customHeight="1">
      <c r="A995" s="203"/>
      <c r="B995" s="203"/>
      <c r="C995" s="203"/>
      <c r="D995" s="203"/>
      <c r="E995" s="203"/>
      <c r="F995" s="20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</row>
    <row r="996" ht="15.75" customHeight="1">
      <c r="A996" s="203"/>
      <c r="B996" s="203"/>
      <c r="C996" s="203"/>
      <c r="D996" s="203"/>
      <c r="E996" s="203"/>
      <c r="F996" s="20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</row>
    <row r="997" ht="15.75" customHeight="1">
      <c r="A997" s="203"/>
      <c r="B997" s="203"/>
      <c r="C997" s="203"/>
      <c r="D997" s="203"/>
      <c r="E997" s="203"/>
      <c r="F997" s="20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</row>
    <row r="998" ht="15.75" customHeight="1">
      <c r="A998" s="203"/>
      <c r="B998" s="203"/>
      <c r="C998" s="203"/>
      <c r="D998" s="203"/>
      <c r="E998" s="203"/>
      <c r="F998" s="20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</row>
    <row r="999" ht="15.75" customHeight="1">
      <c r="A999" s="203"/>
      <c r="B999" s="203"/>
      <c r="C999" s="203"/>
      <c r="D999" s="203"/>
      <c r="E999" s="203"/>
      <c r="F999" s="20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</row>
    <row r="1000" ht="15.75" customHeight="1">
      <c r="A1000" s="203"/>
      <c r="B1000" s="203"/>
      <c r="C1000" s="203"/>
      <c r="D1000" s="203"/>
      <c r="E1000" s="203"/>
      <c r="F1000" s="20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</row>
  </sheetData>
  <mergeCells count="8">
    <mergeCell ref="T16:X19"/>
    <mergeCell ref="N20:R21"/>
    <mergeCell ref="T20:X22"/>
    <mergeCell ref="H25:L26"/>
    <mergeCell ref="T29:X36"/>
    <mergeCell ref="N32:R33"/>
    <mergeCell ref="H34:L35"/>
    <mergeCell ref="A53:G5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1.14"/>
    <col customWidth="1" min="6" max="6" width="16.43"/>
    <col customWidth="1" min="7" max="9" width="17.29"/>
    <col customWidth="1" min="10" max="10" width="28.14"/>
    <col customWidth="1" min="11" max="11" width="31.57"/>
    <col customWidth="1" min="12" max="12" width="29.71"/>
    <col customWidth="1" min="13" max="13" width="14.57"/>
    <col customWidth="1" min="14" max="14" width="15.71"/>
    <col customWidth="1" min="15" max="15" width="15.86"/>
    <col customWidth="1" min="16" max="17" width="14.29"/>
    <col customWidth="1" min="18" max="18" width="35.14"/>
  </cols>
  <sheetData>
    <row r="1">
      <c r="A1" s="2" t="s">
        <v>0</v>
      </c>
      <c r="B1" s="4" t="s">
        <v>2</v>
      </c>
      <c r="C1" s="4" t="s">
        <v>5</v>
      </c>
      <c r="D1" s="6"/>
      <c r="E1" s="8" t="s">
        <v>8</v>
      </c>
      <c r="F1" s="10" t="s">
        <v>5</v>
      </c>
      <c r="G1" s="10" t="s">
        <v>12</v>
      </c>
      <c r="H1" s="10" t="s">
        <v>14</v>
      </c>
      <c r="I1" s="10" t="s">
        <v>16</v>
      </c>
      <c r="J1" s="10" t="s">
        <v>19</v>
      </c>
      <c r="K1" s="10" t="s">
        <v>21</v>
      </c>
      <c r="L1" s="10" t="s">
        <v>23</v>
      </c>
      <c r="M1" s="10" t="s">
        <v>25</v>
      </c>
      <c r="N1" s="14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6"/>
      <c r="W1" s="6"/>
      <c r="X1" s="6"/>
    </row>
    <row r="2">
      <c r="A2" s="2" t="s">
        <v>36</v>
      </c>
      <c r="B2" s="4" t="s">
        <v>37</v>
      </c>
      <c r="C2" s="4" t="s">
        <v>12</v>
      </c>
      <c r="D2" s="6"/>
      <c r="E2" s="18" t="s">
        <v>2</v>
      </c>
      <c r="F2" s="21">
        <v>0.0</v>
      </c>
      <c r="G2" s="21">
        <v>0.0</v>
      </c>
      <c r="H2" s="21">
        <v>0.0</v>
      </c>
      <c r="I2" s="21">
        <v>0.0</v>
      </c>
      <c r="J2" s="21">
        <v>0.0</v>
      </c>
      <c r="K2" s="21">
        <v>0.0</v>
      </c>
      <c r="L2" s="21">
        <v>0.0</v>
      </c>
      <c r="M2" s="21">
        <v>0.0</v>
      </c>
      <c r="N2" s="21">
        <v>0.0</v>
      </c>
      <c r="O2" s="21">
        <v>0.0</v>
      </c>
      <c r="P2" s="21">
        <v>0.0</v>
      </c>
      <c r="Q2" s="21">
        <v>0.0</v>
      </c>
      <c r="R2" s="21">
        <v>0.0</v>
      </c>
      <c r="S2" s="21">
        <v>0.0</v>
      </c>
      <c r="T2" s="21">
        <v>0.0</v>
      </c>
      <c r="U2" s="21">
        <v>0.0</v>
      </c>
      <c r="V2" s="6"/>
      <c r="W2" s="6"/>
      <c r="X2" s="6"/>
    </row>
    <row r="3">
      <c r="A3" s="2" t="s">
        <v>54</v>
      </c>
      <c r="B3" s="4" t="s">
        <v>55</v>
      </c>
      <c r="C3" s="4" t="s">
        <v>14</v>
      </c>
      <c r="D3" s="6"/>
      <c r="E3" s="18" t="s">
        <v>37</v>
      </c>
      <c r="F3" s="21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1">
        <v>0.0</v>
      </c>
      <c r="M3" s="21">
        <v>0.0</v>
      </c>
      <c r="N3" s="21">
        <v>0.0</v>
      </c>
      <c r="O3" s="21">
        <v>0.0</v>
      </c>
      <c r="P3" s="21">
        <v>0.0</v>
      </c>
      <c r="Q3" s="21">
        <v>0.0</v>
      </c>
      <c r="R3" s="21">
        <v>0.0</v>
      </c>
      <c r="S3" s="21">
        <v>0.0</v>
      </c>
      <c r="T3" s="21">
        <v>0.0</v>
      </c>
      <c r="U3" s="21">
        <v>0.0</v>
      </c>
      <c r="V3" s="6"/>
      <c r="W3" s="6"/>
      <c r="X3" s="6"/>
    </row>
    <row r="4">
      <c r="A4" s="2" t="s">
        <v>67</v>
      </c>
      <c r="B4" s="4" t="s">
        <v>68</v>
      </c>
      <c r="C4" s="4" t="s">
        <v>16</v>
      </c>
      <c r="D4" s="6"/>
      <c r="E4" s="18" t="s">
        <v>55</v>
      </c>
      <c r="F4" s="21">
        <v>0.0</v>
      </c>
      <c r="G4" s="21">
        <v>0.0</v>
      </c>
      <c r="H4" s="21">
        <v>0.0</v>
      </c>
      <c r="I4" s="21">
        <v>0.0</v>
      </c>
      <c r="J4" s="21">
        <v>0.0</v>
      </c>
      <c r="K4" s="21">
        <v>0.0</v>
      </c>
      <c r="L4" s="21">
        <v>0.0</v>
      </c>
      <c r="M4" s="21">
        <v>0.0</v>
      </c>
      <c r="N4" s="21">
        <v>0.0</v>
      </c>
      <c r="O4" s="21">
        <v>0.0</v>
      </c>
      <c r="P4" s="21">
        <v>0.0</v>
      </c>
      <c r="Q4" s="21">
        <v>0.0</v>
      </c>
      <c r="R4" s="21">
        <v>0.0</v>
      </c>
      <c r="S4" s="21">
        <v>0.0</v>
      </c>
      <c r="T4" s="21">
        <v>0.0</v>
      </c>
      <c r="U4" s="21">
        <v>0.0</v>
      </c>
      <c r="V4" s="6"/>
      <c r="W4" s="6"/>
      <c r="X4" s="6"/>
    </row>
    <row r="5">
      <c r="A5" s="2" t="s">
        <v>74</v>
      </c>
      <c r="B5" s="4" t="s">
        <v>75</v>
      </c>
      <c r="C5" s="4" t="s">
        <v>77</v>
      </c>
      <c r="D5" s="6"/>
      <c r="E5" s="18" t="s">
        <v>68</v>
      </c>
      <c r="F5" s="21">
        <v>0.0</v>
      </c>
      <c r="G5" s="21">
        <v>0.0</v>
      </c>
      <c r="H5" s="21">
        <v>0.0</v>
      </c>
      <c r="I5" s="21">
        <v>0.0</v>
      </c>
      <c r="J5" s="21">
        <v>0.0</v>
      </c>
      <c r="K5" s="21">
        <v>0.0</v>
      </c>
      <c r="L5" s="21">
        <v>0.0</v>
      </c>
      <c r="M5" s="21">
        <v>0.0</v>
      </c>
      <c r="N5" s="21" t="b">
        <v>1</v>
      </c>
      <c r="O5" s="21">
        <v>0.0</v>
      </c>
      <c r="P5" s="21">
        <v>0.0</v>
      </c>
      <c r="Q5" s="21">
        <v>0.0</v>
      </c>
      <c r="R5" s="21">
        <v>0.0</v>
      </c>
      <c r="S5" s="21">
        <v>0.0</v>
      </c>
      <c r="T5" s="21">
        <v>0.0</v>
      </c>
      <c r="U5" s="21">
        <v>0.0</v>
      </c>
      <c r="V5" s="6"/>
      <c r="W5" s="6"/>
      <c r="X5" s="6"/>
    </row>
    <row r="6">
      <c r="A6" s="2" t="s">
        <v>87</v>
      </c>
      <c r="B6" s="4" t="s">
        <v>88</v>
      </c>
      <c r="C6" s="4" t="s">
        <v>21</v>
      </c>
      <c r="D6" s="6"/>
      <c r="E6" s="18" t="s">
        <v>75</v>
      </c>
      <c r="F6" s="21">
        <v>0.0</v>
      </c>
      <c r="G6" s="21">
        <v>0.0</v>
      </c>
      <c r="H6" s="21">
        <v>0.0</v>
      </c>
      <c r="I6" s="21">
        <v>0.0</v>
      </c>
      <c r="J6" s="21">
        <v>0.0</v>
      </c>
      <c r="K6" s="21">
        <v>0.0</v>
      </c>
      <c r="L6" s="21">
        <v>0.0</v>
      </c>
      <c r="M6" s="21">
        <v>0.0</v>
      </c>
      <c r="N6" s="21">
        <v>0.0</v>
      </c>
      <c r="O6" s="21">
        <v>0.0</v>
      </c>
      <c r="P6" s="21">
        <v>0.0</v>
      </c>
      <c r="Q6" s="21">
        <v>0.0</v>
      </c>
      <c r="R6" s="21">
        <v>0.0</v>
      </c>
      <c r="S6" s="21">
        <v>0.0</v>
      </c>
      <c r="T6" s="21">
        <v>0.0</v>
      </c>
      <c r="U6" s="21">
        <v>0.0</v>
      </c>
      <c r="V6" s="6"/>
      <c r="W6" s="6"/>
      <c r="X6" s="6"/>
    </row>
    <row r="7">
      <c r="A7" s="2" t="s">
        <v>99</v>
      </c>
      <c r="B7" s="4" t="s">
        <v>101</v>
      </c>
      <c r="C7" s="4" t="s">
        <v>25</v>
      </c>
      <c r="D7" s="6"/>
      <c r="E7" s="18" t="s">
        <v>88</v>
      </c>
      <c r="F7" s="21">
        <v>0.0</v>
      </c>
      <c r="G7" s="21" t="b">
        <v>1</v>
      </c>
      <c r="H7" s="21">
        <v>0.0</v>
      </c>
      <c r="I7" s="21">
        <v>0.0</v>
      </c>
      <c r="J7" s="21">
        <v>0.0</v>
      </c>
      <c r="K7" s="21">
        <v>0.0</v>
      </c>
      <c r="L7" s="21">
        <v>0.0</v>
      </c>
      <c r="M7" s="21">
        <v>0.0</v>
      </c>
      <c r="N7" s="21">
        <v>0.0</v>
      </c>
      <c r="O7" s="21">
        <v>0.0</v>
      </c>
      <c r="P7" s="21">
        <v>0.0</v>
      </c>
      <c r="Q7" s="21">
        <v>0.0</v>
      </c>
      <c r="R7" s="21">
        <v>0.0</v>
      </c>
      <c r="S7" s="21">
        <v>0.0</v>
      </c>
      <c r="T7" s="21">
        <v>0.0</v>
      </c>
      <c r="U7" s="21">
        <v>0.0</v>
      </c>
      <c r="V7" s="6"/>
      <c r="W7" s="6"/>
      <c r="X7" s="6"/>
    </row>
    <row r="8">
      <c r="A8" s="2" t="s">
        <v>110</v>
      </c>
      <c r="B8" s="4" t="s">
        <v>111</v>
      </c>
      <c r="C8" s="4" t="s">
        <v>112</v>
      </c>
      <c r="D8" s="6"/>
      <c r="E8" s="18" t="s">
        <v>101</v>
      </c>
      <c r="F8" s="21">
        <v>0.0</v>
      </c>
      <c r="G8" s="21">
        <v>0.0</v>
      </c>
      <c r="H8" s="21">
        <v>0.0</v>
      </c>
      <c r="I8" s="21">
        <v>0.0</v>
      </c>
      <c r="J8" s="21">
        <v>0.0</v>
      </c>
      <c r="K8" s="21">
        <v>0.0</v>
      </c>
      <c r="L8" s="21">
        <v>0.0</v>
      </c>
      <c r="M8" s="21">
        <v>0.0</v>
      </c>
      <c r="N8" s="21">
        <v>0.0</v>
      </c>
      <c r="O8" s="21">
        <v>0.0</v>
      </c>
      <c r="P8" s="21">
        <v>0.0</v>
      </c>
      <c r="Q8" s="21">
        <v>0.0</v>
      </c>
      <c r="R8" s="21">
        <v>0.0</v>
      </c>
      <c r="S8" s="21">
        <v>0.0</v>
      </c>
      <c r="T8" s="21">
        <v>0.0</v>
      </c>
      <c r="U8" s="21">
        <v>0.0</v>
      </c>
      <c r="V8" s="6"/>
      <c r="W8" s="6"/>
      <c r="X8" s="6"/>
    </row>
    <row r="9">
      <c r="A9" s="2" t="s">
        <v>121</v>
      </c>
      <c r="B9" s="4" t="s">
        <v>122</v>
      </c>
      <c r="C9" s="4" t="s">
        <v>123</v>
      </c>
      <c r="D9" s="6"/>
      <c r="E9" s="18" t="s">
        <v>111</v>
      </c>
      <c r="F9" s="21" t="b">
        <v>1</v>
      </c>
      <c r="G9" s="21">
        <v>0.0</v>
      </c>
      <c r="H9" s="21">
        <v>0.0</v>
      </c>
      <c r="I9" s="21">
        <v>0.0</v>
      </c>
      <c r="J9" s="21">
        <v>0.0</v>
      </c>
      <c r="K9" s="21">
        <v>0.0</v>
      </c>
      <c r="L9" s="21">
        <v>0.0</v>
      </c>
      <c r="M9" s="21" t="b">
        <v>1</v>
      </c>
      <c r="N9" s="21">
        <v>0.0</v>
      </c>
      <c r="O9" s="21">
        <v>0.0</v>
      </c>
      <c r="P9" s="21">
        <v>0.0</v>
      </c>
      <c r="Q9" s="21">
        <v>0.0</v>
      </c>
      <c r="R9" s="21">
        <v>0.0</v>
      </c>
      <c r="S9" s="21">
        <v>0.0</v>
      </c>
      <c r="T9" s="21">
        <v>0.0</v>
      </c>
      <c r="U9" s="21">
        <v>0.0</v>
      </c>
      <c r="V9" s="6"/>
      <c r="W9" s="6"/>
      <c r="X9" s="6"/>
    </row>
    <row r="10">
      <c r="A10" s="2" t="s">
        <v>129</v>
      </c>
      <c r="B10" s="4" t="s">
        <v>130</v>
      </c>
      <c r="C10" s="6" t="s">
        <v>131</v>
      </c>
      <c r="D10" s="6"/>
      <c r="E10" s="18" t="s">
        <v>122</v>
      </c>
      <c r="F10" s="21">
        <v>0.0</v>
      </c>
      <c r="G10" s="21">
        <v>0.0</v>
      </c>
      <c r="H10" s="21">
        <v>0.0</v>
      </c>
      <c r="I10" s="21">
        <v>0.0</v>
      </c>
      <c r="J10" s="21">
        <v>0.0</v>
      </c>
      <c r="K10" s="21">
        <v>0.0</v>
      </c>
      <c r="L10" s="21">
        <v>0.0</v>
      </c>
      <c r="M10" s="21">
        <v>0.0</v>
      </c>
      <c r="N10" s="21">
        <v>0.0</v>
      </c>
      <c r="O10" s="21">
        <v>0.0</v>
      </c>
      <c r="P10" s="21">
        <v>0.0</v>
      </c>
      <c r="Q10" s="21">
        <v>0.0</v>
      </c>
      <c r="R10" s="21">
        <v>0.0</v>
      </c>
      <c r="S10" s="21">
        <v>0.0</v>
      </c>
      <c r="T10" s="21" t="b">
        <v>1</v>
      </c>
      <c r="U10" s="21">
        <v>0.0</v>
      </c>
      <c r="V10" s="6"/>
      <c r="W10" s="6"/>
      <c r="X10" s="6"/>
    </row>
    <row r="11">
      <c r="A11" s="2" t="s">
        <v>136</v>
      </c>
      <c r="B11" s="4" t="s">
        <v>137</v>
      </c>
      <c r="C11" s="4" t="s">
        <v>29</v>
      </c>
      <c r="D11" s="6"/>
      <c r="E11" s="18" t="s">
        <v>130</v>
      </c>
      <c r="F11" s="21">
        <v>0.0</v>
      </c>
      <c r="G11" s="21">
        <v>0.0</v>
      </c>
      <c r="H11" s="21">
        <v>0.0</v>
      </c>
      <c r="I11" s="21">
        <v>0.0</v>
      </c>
      <c r="J11" s="21">
        <v>0.0</v>
      </c>
      <c r="K11" s="21" t="b">
        <v>1</v>
      </c>
      <c r="L11" s="21">
        <v>0.0</v>
      </c>
      <c r="M11" s="21">
        <v>0.0</v>
      </c>
      <c r="N11" s="21">
        <v>0.0</v>
      </c>
      <c r="O11" s="21">
        <v>0.0</v>
      </c>
      <c r="P11" s="21">
        <v>0.0</v>
      </c>
      <c r="Q11" s="21">
        <v>0.0</v>
      </c>
      <c r="R11" s="21">
        <v>0.0</v>
      </c>
      <c r="S11" s="21">
        <v>0.0</v>
      </c>
      <c r="T11" s="21">
        <v>0.0</v>
      </c>
      <c r="U11" s="21">
        <v>0.0</v>
      </c>
      <c r="V11" s="6"/>
      <c r="W11" s="6"/>
      <c r="X11" s="6"/>
    </row>
    <row r="12">
      <c r="A12" s="2" t="s">
        <v>138</v>
      </c>
      <c r="B12" s="4" t="s">
        <v>139</v>
      </c>
      <c r="C12" s="4" t="s">
        <v>30</v>
      </c>
      <c r="D12" s="6"/>
      <c r="E12" s="18" t="s">
        <v>137</v>
      </c>
      <c r="F12" s="21">
        <v>0.0</v>
      </c>
      <c r="G12" s="21">
        <v>0.0</v>
      </c>
      <c r="H12" s="21" t="b">
        <v>1</v>
      </c>
      <c r="I12" s="21">
        <v>0.0</v>
      </c>
      <c r="J12" s="21">
        <v>0.0</v>
      </c>
      <c r="K12" s="21">
        <v>0.0</v>
      </c>
      <c r="L12" s="21">
        <v>0.0</v>
      </c>
      <c r="M12" s="21">
        <v>0.0</v>
      </c>
      <c r="N12" s="21">
        <v>0.0</v>
      </c>
      <c r="O12" s="21">
        <v>0.0</v>
      </c>
      <c r="P12" s="21">
        <v>0.0</v>
      </c>
      <c r="Q12" s="21">
        <v>0.0</v>
      </c>
      <c r="R12" s="21">
        <v>0.0</v>
      </c>
      <c r="S12" s="21" t="b">
        <v>1</v>
      </c>
      <c r="T12" s="21">
        <v>0.0</v>
      </c>
      <c r="U12" s="21">
        <v>0.0</v>
      </c>
      <c r="V12" s="6"/>
      <c r="W12" s="6"/>
      <c r="X12" s="6"/>
    </row>
    <row r="13">
      <c r="A13" s="2" t="s">
        <v>143</v>
      </c>
      <c r="B13" s="4" t="s">
        <v>144</v>
      </c>
      <c r="C13" s="4" t="s">
        <v>31</v>
      </c>
      <c r="D13" s="6"/>
      <c r="E13" s="18" t="s">
        <v>139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 t="b">
        <v>1</v>
      </c>
      <c r="M13" s="21">
        <v>0.0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6"/>
      <c r="W13" s="6"/>
      <c r="X13" s="6"/>
    </row>
    <row r="14">
      <c r="A14" s="2" t="s">
        <v>147</v>
      </c>
      <c r="B14" s="4" t="s">
        <v>148</v>
      </c>
      <c r="C14" s="4" t="s">
        <v>149</v>
      </c>
      <c r="D14" s="6"/>
      <c r="E14" s="18" t="s">
        <v>144</v>
      </c>
      <c r="F14" s="21">
        <v>0.0</v>
      </c>
      <c r="G14" s="21">
        <v>0.0</v>
      </c>
      <c r="H14" s="21">
        <v>0.0</v>
      </c>
      <c r="I14" s="21">
        <v>0.0</v>
      </c>
      <c r="J14" s="21" t="b">
        <v>1</v>
      </c>
      <c r="K14" s="21">
        <v>0.0</v>
      </c>
      <c r="L14" s="21">
        <v>0.0</v>
      </c>
      <c r="M14" s="21">
        <v>0.0</v>
      </c>
      <c r="N14" s="21">
        <v>0.0</v>
      </c>
      <c r="O14" s="21" t="b">
        <v>1</v>
      </c>
      <c r="P14" s="21">
        <v>0.0</v>
      </c>
      <c r="Q14" s="21">
        <v>0.0</v>
      </c>
      <c r="R14" s="21">
        <v>0.0</v>
      </c>
      <c r="S14" s="21">
        <v>0.0</v>
      </c>
      <c r="T14" s="21">
        <v>0.0</v>
      </c>
      <c r="U14" s="21">
        <v>0.0</v>
      </c>
      <c r="V14" s="6"/>
      <c r="W14" s="6"/>
      <c r="X14" s="6"/>
    </row>
    <row r="15">
      <c r="A15" s="2" t="s">
        <v>154</v>
      </c>
      <c r="B15" s="4" t="s">
        <v>155</v>
      </c>
      <c r="C15" s="4" t="s">
        <v>156</v>
      </c>
      <c r="D15" s="6"/>
      <c r="E15" s="18" t="s">
        <v>148</v>
      </c>
      <c r="F15" s="21">
        <v>0.0</v>
      </c>
      <c r="G15" s="21">
        <v>0.0</v>
      </c>
      <c r="H15" s="21">
        <v>0.0</v>
      </c>
      <c r="I15" s="21">
        <v>0.0</v>
      </c>
      <c r="J15" s="21">
        <v>0.0</v>
      </c>
      <c r="K15" s="21">
        <v>0.0</v>
      </c>
      <c r="L15" s="21">
        <v>0.0</v>
      </c>
      <c r="M15" s="21">
        <v>0.0</v>
      </c>
      <c r="N15" s="21">
        <v>0.0</v>
      </c>
      <c r="O15" s="21">
        <v>0.0</v>
      </c>
      <c r="P15" s="21">
        <v>0.0</v>
      </c>
      <c r="Q15" s="21">
        <v>0.0</v>
      </c>
      <c r="R15" s="21" t="b">
        <v>1</v>
      </c>
      <c r="S15" s="21">
        <v>0.0</v>
      </c>
      <c r="T15" s="21">
        <v>0.0</v>
      </c>
      <c r="U15" s="21">
        <v>0.0</v>
      </c>
      <c r="V15" s="6"/>
      <c r="W15" s="6"/>
      <c r="X15" s="6"/>
    </row>
    <row r="16">
      <c r="A16" s="2" t="s">
        <v>158</v>
      </c>
      <c r="B16" s="4" t="s">
        <v>159</v>
      </c>
      <c r="C16" s="4" t="s">
        <v>34</v>
      </c>
      <c r="D16" s="6"/>
      <c r="E16" s="18" t="s">
        <v>155</v>
      </c>
      <c r="F16" s="21">
        <v>0.0</v>
      </c>
      <c r="G16" s="21">
        <v>0.0</v>
      </c>
      <c r="H16" s="21">
        <v>0.0</v>
      </c>
      <c r="I16" s="21" t="b">
        <v>1</v>
      </c>
      <c r="J16" s="21">
        <v>0.0</v>
      </c>
      <c r="K16" s="21">
        <v>0.0</v>
      </c>
      <c r="L16" s="21">
        <v>0.0</v>
      </c>
      <c r="M16" s="21">
        <v>0.0</v>
      </c>
      <c r="N16" s="21">
        <v>0.0</v>
      </c>
      <c r="O16" s="21">
        <v>0.0</v>
      </c>
      <c r="P16" s="21" t="b">
        <v>1</v>
      </c>
      <c r="Q16" s="21" t="b">
        <v>1</v>
      </c>
      <c r="R16" s="21">
        <v>0.0</v>
      </c>
      <c r="S16" s="21">
        <v>0.0</v>
      </c>
      <c r="T16" s="21">
        <v>0.0</v>
      </c>
      <c r="U16" s="21" t="b">
        <v>1</v>
      </c>
      <c r="V16" s="6"/>
      <c r="W16" s="6"/>
      <c r="X16" s="6"/>
    </row>
    <row r="17">
      <c r="A17" s="2" t="s">
        <v>160</v>
      </c>
      <c r="B17" s="4"/>
      <c r="C17" s="6"/>
      <c r="D17" s="6"/>
      <c r="E17" s="18" t="s">
        <v>159</v>
      </c>
      <c r="F17" s="21">
        <v>0.0</v>
      </c>
      <c r="G17" s="21">
        <v>0.0</v>
      </c>
      <c r="H17" s="21">
        <v>0.0</v>
      </c>
      <c r="I17" s="21" t="b">
        <v>1</v>
      </c>
      <c r="J17" s="21">
        <v>0.0</v>
      </c>
      <c r="K17" s="21">
        <v>0.0</v>
      </c>
      <c r="L17" s="21">
        <v>0.0</v>
      </c>
      <c r="M17" s="21">
        <v>0.0</v>
      </c>
      <c r="N17" s="21">
        <v>0.0</v>
      </c>
      <c r="O17" s="21">
        <v>0.0</v>
      </c>
      <c r="P17" s="21" t="b">
        <v>1</v>
      </c>
      <c r="Q17" s="21">
        <v>0.0</v>
      </c>
      <c r="R17" s="21">
        <v>0.0</v>
      </c>
      <c r="S17" s="21">
        <v>0.0</v>
      </c>
      <c r="T17" s="21">
        <v>0.0</v>
      </c>
      <c r="U17" s="21">
        <v>0.0</v>
      </c>
      <c r="V17" s="6"/>
      <c r="W17" s="6"/>
      <c r="X17" s="6"/>
    </row>
    <row r="18">
      <c r="A18" s="2" t="s">
        <v>161</v>
      </c>
      <c r="B18" s="4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V18" s="6"/>
      <c r="W18" s="6"/>
      <c r="X18" s="6"/>
    </row>
    <row r="19">
      <c r="A19" s="2" t="s">
        <v>164</v>
      </c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V19" s="6"/>
      <c r="W19" s="6"/>
      <c r="X19" s="6"/>
    </row>
    <row r="20">
      <c r="A20" s="2" t="s">
        <v>165</v>
      </c>
      <c r="B20" s="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V20" s="6"/>
      <c r="W20" s="6"/>
      <c r="X20" s="6"/>
    </row>
    <row r="21" ht="15.75" customHeight="1">
      <c r="A21" s="2" t="s">
        <v>166</v>
      </c>
      <c r="B21" s="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V21" s="6"/>
      <c r="W21" s="6"/>
      <c r="X21" s="6"/>
    </row>
    <row r="22" ht="15.75" customHeight="1">
      <c r="A22" s="2" t="s">
        <v>167</v>
      </c>
      <c r="B22" s="4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V22" s="6"/>
      <c r="W22" s="6"/>
      <c r="X22" s="6"/>
    </row>
    <row r="23" ht="15.75" customHeight="1">
      <c r="A23" s="2" t="s">
        <v>168</v>
      </c>
      <c r="B23" s="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V23" s="6"/>
      <c r="W23" s="6"/>
      <c r="X23" s="6"/>
    </row>
    <row r="24" ht="15.75" customHeight="1">
      <c r="A24" s="2" t="s">
        <v>169</v>
      </c>
      <c r="B24" s="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V24" s="6"/>
      <c r="W24" s="6"/>
      <c r="X24" s="6"/>
    </row>
    <row r="25" ht="15.75" customHeight="1">
      <c r="A25" s="2" t="s">
        <v>170</v>
      </c>
      <c r="B25" s="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V25" s="6"/>
      <c r="W25" s="6"/>
      <c r="X25" s="6"/>
    </row>
    <row r="26" ht="15.75" customHeight="1">
      <c r="A26" s="2" t="s">
        <v>171</v>
      </c>
      <c r="B26" s="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V26" s="6"/>
      <c r="W26" s="6"/>
      <c r="X26" s="6"/>
    </row>
    <row r="27" ht="15.75" customHeight="1">
      <c r="A27" s="2" t="s">
        <v>173</v>
      </c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V27" s="6"/>
      <c r="W27" s="6"/>
      <c r="X27" s="6"/>
    </row>
    <row r="28" ht="15.75" customHeight="1">
      <c r="A28" s="2" t="s">
        <v>174</v>
      </c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V28" s="6"/>
      <c r="W28" s="6"/>
      <c r="X28" s="6"/>
    </row>
    <row r="29" ht="15.75" customHeight="1">
      <c r="A29" s="2" t="s">
        <v>175</v>
      </c>
      <c r="B29" s="4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V29" s="6"/>
      <c r="W29" s="6"/>
      <c r="X29" s="6"/>
    </row>
    <row r="30" ht="15.75" customHeight="1">
      <c r="A30" s="2" t="s">
        <v>176</v>
      </c>
      <c r="B30" s="4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V30" s="6"/>
      <c r="W30" s="6"/>
      <c r="X30" s="6"/>
    </row>
    <row r="31" ht="15.75" customHeight="1">
      <c r="A31" s="2" t="s">
        <v>177</v>
      </c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V31" s="6"/>
      <c r="W31" s="6"/>
      <c r="X31" s="6"/>
    </row>
    <row r="32" ht="15.75" customHeight="1">
      <c r="A32" s="2" t="s">
        <v>178</v>
      </c>
      <c r="B32" s="4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V32" s="6"/>
      <c r="W32" s="6"/>
      <c r="X32" s="6"/>
    </row>
    <row r="33" ht="15.75" customHeight="1">
      <c r="A33" s="2" t="s">
        <v>179</v>
      </c>
      <c r="B33" s="4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V33" s="6"/>
      <c r="W33" s="6"/>
      <c r="X33" s="6"/>
    </row>
    <row r="34" ht="15.75" customHeight="1">
      <c r="A34" s="2" t="s">
        <v>180</v>
      </c>
      <c r="B34" s="4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V34" s="6"/>
      <c r="W34" s="6"/>
      <c r="X34" s="6"/>
    </row>
    <row r="35" ht="15.75" customHeight="1">
      <c r="A35" s="2" t="s">
        <v>182</v>
      </c>
      <c r="B35" s="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V35" s="6"/>
      <c r="W35" s="6"/>
      <c r="X35" s="6"/>
    </row>
    <row r="36" ht="15.75" customHeight="1">
      <c r="A36" s="2" t="s">
        <v>183</v>
      </c>
      <c r="B36" s="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V36" s="6"/>
      <c r="W36" s="6"/>
      <c r="X36" s="6"/>
    </row>
    <row r="37" ht="15.75" customHeight="1">
      <c r="A37" s="2" t="s">
        <v>184</v>
      </c>
      <c r="B37" s="4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V37" s="6"/>
      <c r="W37" s="6"/>
      <c r="X37" s="6"/>
    </row>
    <row r="38" ht="15.75" customHeight="1">
      <c r="A38" s="2" t="s">
        <v>185</v>
      </c>
      <c r="B38" s="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V38" s="6"/>
      <c r="W38" s="6"/>
      <c r="X38" s="6"/>
    </row>
    <row r="39" ht="15.75" customHeight="1">
      <c r="A39" s="2" t="s">
        <v>189</v>
      </c>
      <c r="B39" s="4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V39" s="6"/>
      <c r="W39" s="6"/>
      <c r="X39" s="6"/>
    </row>
    <row r="40" ht="15.75" customHeight="1">
      <c r="A40" s="2" t="s">
        <v>190</v>
      </c>
      <c r="B40" s="4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V40" s="6"/>
      <c r="W40" s="6"/>
      <c r="X40" s="6"/>
    </row>
    <row r="41" ht="15.75" customHeight="1">
      <c r="A41" s="2" t="s">
        <v>191</v>
      </c>
      <c r="B41" s="4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V41" s="6"/>
      <c r="W41" s="6"/>
      <c r="X41" s="6"/>
    </row>
    <row r="42" ht="15.75" customHeight="1">
      <c r="A42" s="2" t="s">
        <v>192</v>
      </c>
      <c r="B42" s="4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V42" s="6"/>
      <c r="W42" s="6"/>
      <c r="X42" s="6"/>
    </row>
    <row r="43" ht="15.75" customHeight="1">
      <c r="A43" s="2" t="s">
        <v>193</v>
      </c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V43" s="6"/>
      <c r="W43" s="6"/>
      <c r="X43" s="6"/>
    </row>
    <row r="44" ht="15.75" customHeight="1">
      <c r="A44" s="2" t="s">
        <v>194</v>
      </c>
      <c r="B44" s="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V44" s="6"/>
      <c r="W44" s="6"/>
      <c r="X44" s="6"/>
    </row>
    <row r="45" ht="15.75" customHeight="1">
      <c r="A45" s="2" t="s">
        <v>196</v>
      </c>
      <c r="B45" s="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V45" s="6"/>
      <c r="W45" s="6"/>
      <c r="X45" s="6"/>
    </row>
    <row r="46" ht="15.75" customHeight="1">
      <c r="A46" s="2" t="s">
        <v>199</v>
      </c>
      <c r="B46" s="4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V46" s="6"/>
      <c r="W46" s="6"/>
      <c r="X46" s="6"/>
    </row>
    <row r="47" ht="15.75" customHeight="1">
      <c r="A47" s="2" t="s">
        <v>200</v>
      </c>
      <c r="B47" s="4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V47" s="6"/>
      <c r="W47" s="6"/>
      <c r="X47" s="6"/>
    </row>
    <row r="48" ht="15.75" customHeight="1">
      <c r="A48" s="2" t="s">
        <v>201</v>
      </c>
      <c r="B48" s="4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V48" s="6"/>
      <c r="W48" s="6"/>
      <c r="X48" s="6"/>
    </row>
    <row r="49" ht="15.75" customHeight="1">
      <c r="A49" s="4"/>
      <c r="B49" s="4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V49" s="6"/>
      <c r="W49" s="6"/>
      <c r="X49" s="6"/>
    </row>
    <row r="50" ht="15.75" customHeight="1">
      <c r="A50" s="4"/>
      <c r="B50" s="4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V50" s="6"/>
      <c r="W50" s="6"/>
      <c r="X50" s="6"/>
    </row>
    <row r="51" ht="15.75" customHeight="1">
      <c r="A51" s="4"/>
      <c r="B51" s="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V51" s="6"/>
      <c r="W51" s="6"/>
      <c r="X51" s="6"/>
    </row>
    <row r="52" ht="15.75" customHeight="1">
      <c r="A52" s="4"/>
      <c r="B52" s="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V52" s="6"/>
      <c r="W52" s="6"/>
      <c r="X52" s="6"/>
    </row>
    <row r="53" ht="15.75" customHeight="1">
      <c r="A53" s="4"/>
      <c r="B53" s="4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V53" s="6"/>
      <c r="W53" s="6"/>
      <c r="X53" s="6"/>
    </row>
    <row r="54" ht="15.75" customHeight="1">
      <c r="A54" s="4"/>
      <c r="B54" s="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V54" s="6"/>
      <c r="W54" s="6"/>
      <c r="X54" s="6"/>
    </row>
    <row r="55" ht="15.75" customHeight="1">
      <c r="A55" s="4"/>
      <c r="B55" s="4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V55" s="6"/>
      <c r="W55" s="6"/>
      <c r="X55" s="6"/>
    </row>
    <row r="56" ht="15.75" customHeight="1">
      <c r="A56" s="4"/>
      <c r="B56" s="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V56" s="6"/>
      <c r="W56" s="6"/>
      <c r="X56" s="6"/>
    </row>
    <row r="57" ht="15.75" customHeight="1">
      <c r="A57" s="4"/>
      <c r="B57" s="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V57" s="6"/>
      <c r="W57" s="6"/>
      <c r="X57" s="6"/>
    </row>
    <row r="58" ht="15.75" customHeight="1">
      <c r="A58" s="4"/>
      <c r="B58" s="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V58" s="6"/>
      <c r="W58" s="6"/>
      <c r="X58" s="6"/>
    </row>
    <row r="59" ht="15.75" customHeight="1">
      <c r="A59" s="4"/>
      <c r="B59" s="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V59" s="6"/>
      <c r="W59" s="6"/>
      <c r="X59" s="6"/>
    </row>
    <row r="60" ht="15.75" customHeight="1">
      <c r="A60" s="4"/>
      <c r="B60" s="4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V60" s="6"/>
      <c r="W60" s="6"/>
      <c r="X60" s="6"/>
    </row>
    <row r="61" ht="15.75" customHeight="1">
      <c r="A61" s="4"/>
      <c r="B61" s="4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V61" s="6"/>
      <c r="W61" s="6"/>
      <c r="X61" s="6"/>
    </row>
    <row r="62" ht="15.75" customHeight="1">
      <c r="A62" s="4"/>
      <c r="B62" s="4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V62" s="6"/>
      <c r="W62" s="6"/>
      <c r="X62" s="6"/>
    </row>
    <row r="63" ht="15.75" customHeight="1">
      <c r="A63" s="4"/>
      <c r="B63" s="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V63" s="6"/>
      <c r="W63" s="6"/>
      <c r="X63" s="6"/>
    </row>
    <row r="64" ht="15.75" customHeight="1">
      <c r="A64" s="4"/>
      <c r="B64" s="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V64" s="6"/>
      <c r="W64" s="6"/>
      <c r="X64" s="6"/>
    </row>
    <row r="65" ht="15.75" customHeight="1">
      <c r="A65" s="4"/>
      <c r="B65" s="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V65" s="6"/>
      <c r="W65" s="6"/>
      <c r="X65" s="6"/>
    </row>
    <row r="66" ht="15.75" customHeight="1">
      <c r="A66" s="4"/>
      <c r="B66" s="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V66" s="6"/>
      <c r="W66" s="6"/>
      <c r="X66" s="6"/>
    </row>
    <row r="67" ht="15.75" customHeight="1">
      <c r="A67" s="4"/>
      <c r="B67" s="4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V67" s="6"/>
      <c r="W67" s="6"/>
      <c r="X67" s="6"/>
    </row>
    <row r="68" ht="15.75" customHeight="1">
      <c r="A68" s="4"/>
      <c r="B68" s="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V68" s="6"/>
      <c r="W68" s="6"/>
      <c r="X68" s="6"/>
    </row>
    <row r="69" ht="15.75" customHeight="1">
      <c r="A69" s="4"/>
      <c r="B69" s="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V69" s="6"/>
      <c r="W69" s="6"/>
      <c r="X69" s="6"/>
    </row>
    <row r="70" ht="15.75" customHeight="1">
      <c r="A70" s="4"/>
      <c r="B70" s="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V70" s="6"/>
      <c r="W70" s="6"/>
      <c r="X70" s="6"/>
    </row>
    <row r="71" ht="15.75" customHeight="1">
      <c r="A71" s="4"/>
      <c r="B71" s="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V71" s="6"/>
      <c r="W71" s="6"/>
      <c r="X71" s="6"/>
    </row>
    <row r="72" ht="15.75" customHeight="1">
      <c r="A72" s="4"/>
      <c r="B72" s="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V72" s="6"/>
      <c r="W72" s="6"/>
      <c r="X72" s="6"/>
    </row>
    <row r="73" ht="15.75" customHeight="1">
      <c r="A73" s="4"/>
      <c r="B73" s="4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V73" s="6"/>
      <c r="W73" s="6"/>
      <c r="X73" s="6"/>
    </row>
    <row r="74" ht="15.75" customHeight="1">
      <c r="A74" s="4"/>
      <c r="B74" s="4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V74" s="6"/>
      <c r="W74" s="6"/>
      <c r="X74" s="6"/>
    </row>
    <row r="75" ht="15.75" customHeight="1">
      <c r="A75" s="4"/>
      <c r="B75" s="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V75" s="6"/>
      <c r="W75" s="6"/>
      <c r="X75" s="6"/>
    </row>
    <row r="76" ht="15.75" customHeight="1">
      <c r="A76" s="4"/>
      <c r="B76" s="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V76" s="6"/>
      <c r="W76" s="6"/>
      <c r="X76" s="6"/>
    </row>
    <row r="77" ht="15.75" customHeight="1">
      <c r="A77" s="4"/>
      <c r="B77" s="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V77" s="6"/>
      <c r="W77" s="6"/>
      <c r="X77" s="6"/>
    </row>
    <row r="78" ht="15.75" customHeight="1">
      <c r="A78" s="4"/>
      <c r="B78" s="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V78" s="6"/>
      <c r="W78" s="6"/>
      <c r="X78" s="6"/>
    </row>
    <row r="79" ht="15.75" customHeight="1">
      <c r="A79" s="4"/>
      <c r="B79" s="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V79" s="6"/>
      <c r="W79" s="6"/>
      <c r="X79" s="6"/>
    </row>
    <row r="80" ht="15.75" customHeight="1">
      <c r="A80" s="4"/>
      <c r="B80" s="4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V80" s="6"/>
      <c r="W80" s="6"/>
      <c r="X80" s="6"/>
    </row>
    <row r="81" ht="15.75" customHeight="1">
      <c r="A81" s="4"/>
      <c r="B81" s="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V81" s="6"/>
      <c r="W81" s="6"/>
      <c r="X81" s="6"/>
    </row>
    <row r="82" ht="15.75" customHeight="1">
      <c r="A82" s="4"/>
      <c r="B82" s="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V82" s="6"/>
      <c r="W82" s="6"/>
      <c r="X82" s="6"/>
    </row>
    <row r="83" ht="15.75" customHeight="1">
      <c r="A83" s="4"/>
      <c r="B83" s="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V83" s="6"/>
      <c r="W83" s="6"/>
      <c r="X83" s="6"/>
    </row>
    <row r="84" ht="15.75" customHeight="1">
      <c r="A84" s="4"/>
      <c r="B84" s="4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V84" s="6"/>
      <c r="W84" s="6"/>
      <c r="X84" s="6"/>
    </row>
    <row r="85" ht="15.75" customHeight="1">
      <c r="A85" s="4"/>
      <c r="B85" s="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V85" s="6"/>
      <c r="W85" s="6"/>
      <c r="X85" s="6"/>
    </row>
    <row r="86" ht="15.75" customHeight="1">
      <c r="A86" s="4"/>
      <c r="B86" s="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V86" s="6"/>
      <c r="W86" s="6"/>
      <c r="X86" s="6"/>
    </row>
    <row r="87" ht="15.75" customHeight="1">
      <c r="A87" s="4"/>
      <c r="B87" s="4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V87" s="6"/>
      <c r="W87" s="6"/>
      <c r="X87" s="6"/>
    </row>
    <row r="88" ht="15.75" customHeight="1">
      <c r="A88" s="4"/>
      <c r="B88" s="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V88" s="6"/>
      <c r="W88" s="6"/>
      <c r="X88" s="6"/>
    </row>
    <row r="89" ht="15.75" customHeight="1">
      <c r="A89" s="4"/>
      <c r="B89" s="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V89" s="6"/>
      <c r="W89" s="6"/>
      <c r="X89" s="6"/>
    </row>
    <row r="90" ht="15.75" customHeight="1">
      <c r="A90" s="4"/>
      <c r="B90" s="4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V90" s="6"/>
      <c r="W90" s="6"/>
      <c r="X90" s="6"/>
    </row>
    <row r="91" ht="15.75" customHeight="1">
      <c r="A91" s="4"/>
      <c r="B91" s="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V91" s="6"/>
      <c r="W91" s="6"/>
      <c r="X91" s="6"/>
    </row>
    <row r="92" ht="15.75" customHeight="1">
      <c r="A92" s="4"/>
      <c r="B92" s="4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V92" s="6"/>
      <c r="W92" s="6"/>
      <c r="X92" s="6"/>
    </row>
    <row r="93" ht="15.75" customHeight="1">
      <c r="A93" s="4"/>
      <c r="B93" s="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V93" s="6"/>
      <c r="W93" s="6"/>
      <c r="X93" s="6"/>
    </row>
    <row r="94" ht="15.75" customHeight="1">
      <c r="A94" s="4"/>
      <c r="B94" s="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V94" s="6"/>
      <c r="W94" s="6"/>
      <c r="X94" s="6"/>
    </row>
    <row r="95" ht="15.75" customHeight="1">
      <c r="A95" s="4"/>
      <c r="B95" s="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V95" s="6"/>
      <c r="W95" s="6"/>
      <c r="X95" s="6"/>
    </row>
    <row r="96" ht="15.75" customHeight="1">
      <c r="A96" s="4"/>
      <c r="B96" s="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V96" s="6"/>
      <c r="W96" s="6"/>
      <c r="X96" s="6"/>
    </row>
    <row r="97" ht="15.75" customHeight="1">
      <c r="A97" s="4"/>
      <c r="B97" s="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V97" s="6"/>
      <c r="W97" s="6"/>
      <c r="X97" s="6"/>
    </row>
    <row r="98" ht="15.75" customHeight="1">
      <c r="A98" s="4"/>
      <c r="B98" s="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V98" s="6"/>
      <c r="W98" s="6"/>
      <c r="X98" s="6"/>
    </row>
    <row r="99" ht="15.75" customHeight="1">
      <c r="A99" s="4"/>
      <c r="B99" s="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V99" s="6"/>
      <c r="W99" s="6"/>
      <c r="X99" s="6"/>
    </row>
    <row r="100" ht="15.75" customHeight="1">
      <c r="A100" s="4"/>
      <c r="B100" s="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V100" s="6"/>
      <c r="W100" s="6"/>
      <c r="X100" s="6"/>
    </row>
    <row r="101" ht="15.75" customHeight="1">
      <c r="A101" s="4"/>
      <c r="B101" s="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V101" s="6"/>
      <c r="W101" s="6"/>
      <c r="X101" s="6"/>
    </row>
    <row r="102" ht="15.75" customHeight="1">
      <c r="A102" s="4"/>
      <c r="B102" s="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V102" s="6"/>
      <c r="W102" s="6"/>
      <c r="X102" s="6"/>
    </row>
    <row r="103" ht="15.75" customHeight="1">
      <c r="A103" s="4"/>
      <c r="B103" s="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V103" s="6"/>
      <c r="W103" s="6"/>
      <c r="X103" s="6"/>
    </row>
    <row r="104" ht="15.75" customHeight="1">
      <c r="A104" s="4"/>
      <c r="B104" s="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V104" s="6"/>
      <c r="W104" s="6"/>
      <c r="X104" s="6"/>
    </row>
    <row r="105" ht="15.75" customHeight="1">
      <c r="A105" s="4"/>
      <c r="B105" s="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V105" s="6"/>
      <c r="W105" s="6"/>
      <c r="X105" s="6"/>
    </row>
    <row r="106" ht="15.75" customHeight="1">
      <c r="A106" s="4"/>
      <c r="B106" s="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V106" s="6"/>
      <c r="W106" s="6"/>
      <c r="X106" s="6"/>
    </row>
    <row r="107" ht="15.75" customHeight="1">
      <c r="A107" s="4"/>
      <c r="B107" s="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V107" s="6"/>
      <c r="W107" s="6"/>
      <c r="X107" s="6"/>
    </row>
    <row r="108" ht="15.75" customHeight="1">
      <c r="A108" s="4"/>
      <c r="B108" s="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V108" s="6"/>
      <c r="W108" s="6"/>
      <c r="X108" s="6"/>
    </row>
    <row r="109" ht="15.75" customHeight="1">
      <c r="A109" s="4"/>
      <c r="B109" s="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V109" s="6"/>
      <c r="W109" s="6"/>
      <c r="X109" s="6"/>
    </row>
    <row r="110" ht="15.75" customHeight="1">
      <c r="A110" s="4"/>
      <c r="B110" s="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V110" s="6"/>
      <c r="W110" s="6"/>
      <c r="X110" s="6"/>
    </row>
    <row r="111" ht="15.75" customHeight="1">
      <c r="A111" s="4"/>
      <c r="B111" s="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V111" s="6"/>
      <c r="W111" s="6"/>
      <c r="X111" s="6"/>
    </row>
    <row r="112" ht="15.75" customHeight="1">
      <c r="A112" s="4"/>
      <c r="B112" s="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V112" s="6"/>
      <c r="W112" s="6"/>
      <c r="X112" s="6"/>
    </row>
    <row r="113" ht="15.75" customHeight="1">
      <c r="A113" s="4"/>
      <c r="B113" s="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V113" s="6"/>
      <c r="W113" s="6"/>
      <c r="X113" s="6"/>
    </row>
    <row r="114" ht="15.75" customHeight="1">
      <c r="A114" s="4"/>
      <c r="B114" s="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V114" s="6"/>
      <c r="W114" s="6"/>
      <c r="X114" s="6"/>
    </row>
    <row r="115" ht="15.75" customHeight="1">
      <c r="A115" s="4"/>
      <c r="B115" s="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V115" s="6"/>
      <c r="W115" s="6"/>
      <c r="X115" s="6"/>
    </row>
    <row r="116" ht="15.75" customHeight="1">
      <c r="A116" s="4"/>
      <c r="B116" s="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V116" s="6"/>
      <c r="W116" s="6"/>
      <c r="X116" s="6"/>
    </row>
    <row r="117" ht="15.75" customHeight="1">
      <c r="A117" s="4"/>
      <c r="B117" s="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V117" s="6"/>
      <c r="W117" s="6"/>
      <c r="X117" s="6"/>
    </row>
    <row r="118" ht="15.75" customHeight="1">
      <c r="A118" s="4"/>
      <c r="B118" s="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V118" s="6"/>
      <c r="W118" s="6"/>
      <c r="X118" s="6"/>
    </row>
    <row r="119" ht="15.75" customHeight="1">
      <c r="A119" s="4"/>
      <c r="B119" s="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V119" s="6"/>
      <c r="W119" s="6"/>
      <c r="X119" s="6"/>
    </row>
    <row r="120" ht="15.75" customHeight="1">
      <c r="A120" s="4"/>
      <c r="B120" s="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V120" s="6"/>
      <c r="W120" s="6"/>
      <c r="X120" s="6"/>
    </row>
    <row r="121" ht="15.75" customHeight="1">
      <c r="A121" s="4"/>
      <c r="B121" s="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V121" s="6"/>
      <c r="W121" s="6"/>
      <c r="X121" s="6"/>
    </row>
    <row r="122" ht="15.75" customHeight="1">
      <c r="A122" s="4"/>
      <c r="B122" s="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V122" s="6"/>
      <c r="W122" s="6"/>
      <c r="X122" s="6"/>
    </row>
    <row r="123" ht="15.75" customHeight="1">
      <c r="A123" s="4"/>
      <c r="B123" s="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V123" s="6"/>
      <c r="W123" s="6"/>
      <c r="X123" s="6"/>
    </row>
    <row r="124" ht="15.75" customHeight="1">
      <c r="A124" s="4"/>
      <c r="B124" s="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V124" s="6"/>
      <c r="W124" s="6"/>
      <c r="X124" s="6"/>
    </row>
    <row r="125" ht="15.75" customHeight="1">
      <c r="A125" s="4"/>
      <c r="B125" s="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V125" s="6"/>
      <c r="W125" s="6"/>
      <c r="X125" s="6"/>
    </row>
    <row r="126" ht="15.75" customHeight="1">
      <c r="A126" s="4"/>
      <c r="B126" s="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V126" s="6"/>
      <c r="W126" s="6"/>
      <c r="X126" s="6"/>
    </row>
    <row r="127" ht="15.75" customHeight="1">
      <c r="A127" s="4"/>
      <c r="B127" s="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V127" s="6"/>
      <c r="W127" s="6"/>
      <c r="X127" s="6"/>
    </row>
    <row r="128" ht="15.75" customHeight="1">
      <c r="A128" s="4"/>
      <c r="B128" s="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V128" s="6"/>
      <c r="W128" s="6"/>
      <c r="X128" s="6"/>
    </row>
    <row r="129" ht="15.75" customHeight="1">
      <c r="A129" s="4"/>
      <c r="B129" s="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V129" s="6"/>
      <c r="W129" s="6"/>
      <c r="X129" s="6"/>
    </row>
    <row r="130" ht="15.75" customHeight="1">
      <c r="A130" s="4"/>
      <c r="B130" s="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V130" s="6"/>
      <c r="W130" s="6"/>
      <c r="X130" s="6"/>
    </row>
    <row r="131" ht="15.75" customHeight="1">
      <c r="A131" s="4"/>
      <c r="B131" s="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V131" s="6"/>
      <c r="W131" s="6"/>
      <c r="X131" s="6"/>
    </row>
    <row r="132" ht="15.75" customHeight="1">
      <c r="A132" s="4"/>
      <c r="B132" s="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V132" s="6"/>
      <c r="W132" s="6"/>
      <c r="X132" s="6"/>
    </row>
    <row r="133" ht="15.75" customHeight="1">
      <c r="A133" s="4"/>
      <c r="B133" s="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V133" s="6"/>
      <c r="W133" s="6"/>
      <c r="X133" s="6"/>
    </row>
    <row r="134" ht="15.75" customHeight="1">
      <c r="A134" s="4"/>
      <c r="B134" s="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V134" s="6"/>
      <c r="W134" s="6"/>
      <c r="X134" s="6"/>
    </row>
    <row r="135" ht="15.75" customHeight="1">
      <c r="A135" s="4"/>
      <c r="B135" s="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V135" s="6"/>
      <c r="W135" s="6"/>
      <c r="X135" s="6"/>
    </row>
    <row r="136" ht="15.75" customHeight="1">
      <c r="A136" s="4"/>
      <c r="B136" s="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V136" s="6"/>
      <c r="W136" s="6"/>
      <c r="X136" s="6"/>
    </row>
    <row r="137" ht="15.75" customHeight="1">
      <c r="A137" s="4"/>
      <c r="B137" s="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V137" s="6"/>
      <c r="W137" s="6"/>
      <c r="X137" s="6"/>
    </row>
    <row r="138" ht="15.75" customHeight="1">
      <c r="A138" s="4"/>
      <c r="B138" s="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V138" s="6"/>
      <c r="W138" s="6"/>
      <c r="X138" s="6"/>
    </row>
    <row r="139" ht="15.75" customHeight="1">
      <c r="A139" s="4"/>
      <c r="B139" s="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V139" s="6"/>
      <c r="W139" s="6"/>
      <c r="X139" s="6"/>
    </row>
    <row r="140" ht="15.75" customHeight="1">
      <c r="A140" s="4"/>
      <c r="B140" s="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V140" s="6"/>
      <c r="W140" s="6"/>
      <c r="X140" s="6"/>
    </row>
    <row r="141" ht="15.75" customHeight="1">
      <c r="A141" s="4"/>
      <c r="B141" s="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V141" s="6"/>
      <c r="W141" s="6"/>
      <c r="X141" s="6"/>
    </row>
    <row r="142" ht="15.75" customHeight="1">
      <c r="A142" s="4"/>
      <c r="B142" s="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V142" s="6"/>
      <c r="W142" s="6"/>
      <c r="X142" s="6"/>
    </row>
    <row r="143" ht="15.75" customHeight="1">
      <c r="A143" s="4"/>
      <c r="B143" s="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V143" s="6"/>
      <c r="W143" s="6"/>
      <c r="X143" s="6"/>
    </row>
    <row r="144" ht="15.75" customHeight="1">
      <c r="A144" s="4"/>
      <c r="B144" s="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V144" s="6"/>
      <c r="W144" s="6"/>
      <c r="X144" s="6"/>
    </row>
    <row r="145" ht="15.75" customHeight="1">
      <c r="A145" s="4"/>
      <c r="B145" s="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V145" s="6"/>
      <c r="W145" s="6"/>
      <c r="X145" s="6"/>
    </row>
    <row r="146" ht="15.75" customHeight="1">
      <c r="A146" s="4"/>
      <c r="B146" s="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V146" s="6"/>
      <c r="W146" s="6"/>
      <c r="X146" s="6"/>
    </row>
    <row r="147" ht="15.75" customHeight="1">
      <c r="A147" s="4"/>
      <c r="B147" s="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V147" s="6"/>
      <c r="W147" s="6"/>
      <c r="X147" s="6"/>
    </row>
    <row r="148" ht="15.75" customHeight="1">
      <c r="A148" s="4"/>
      <c r="B148" s="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V148" s="6"/>
      <c r="W148" s="6"/>
      <c r="X148" s="6"/>
    </row>
    <row r="149" ht="15.75" customHeight="1">
      <c r="A149" s="4"/>
      <c r="B149" s="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V149" s="6"/>
      <c r="W149" s="6"/>
      <c r="X149" s="6"/>
    </row>
    <row r="150" ht="15.75" customHeight="1">
      <c r="A150" s="4"/>
      <c r="B150" s="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V150" s="6"/>
      <c r="W150" s="6"/>
      <c r="X150" s="6"/>
    </row>
    <row r="151" ht="15.75" customHeight="1">
      <c r="A151" s="4"/>
      <c r="B151" s="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V151" s="6"/>
      <c r="W151" s="6"/>
      <c r="X151" s="6"/>
    </row>
    <row r="152" ht="15.75" customHeight="1">
      <c r="A152" s="4"/>
      <c r="B152" s="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V152" s="6"/>
      <c r="W152" s="6"/>
      <c r="X152" s="6"/>
    </row>
    <row r="153" ht="15.75" customHeight="1">
      <c r="A153" s="4"/>
      <c r="B153" s="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V153" s="6"/>
      <c r="W153" s="6"/>
      <c r="X153" s="6"/>
    </row>
    <row r="154" ht="15.75" customHeight="1">
      <c r="A154" s="4"/>
      <c r="B154" s="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V154" s="6"/>
      <c r="W154" s="6"/>
      <c r="X154" s="6"/>
    </row>
    <row r="155" ht="15.75" customHeight="1">
      <c r="A155" s="4"/>
      <c r="B155" s="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V155" s="6"/>
      <c r="W155" s="6"/>
      <c r="X155" s="6"/>
    </row>
    <row r="156" ht="15.75" customHeight="1">
      <c r="A156" s="4"/>
      <c r="B156" s="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V156" s="6"/>
      <c r="W156" s="6"/>
      <c r="X156" s="6"/>
    </row>
    <row r="157" ht="15.75" customHeight="1">
      <c r="A157" s="4"/>
      <c r="B157" s="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V157" s="6"/>
      <c r="W157" s="6"/>
      <c r="X157" s="6"/>
    </row>
    <row r="158" ht="15.75" customHeight="1">
      <c r="A158" s="4"/>
      <c r="B158" s="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V158" s="6"/>
      <c r="W158" s="6"/>
      <c r="X158" s="6"/>
    </row>
    <row r="159" ht="15.75" customHeight="1">
      <c r="A159" s="4"/>
      <c r="B159" s="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V159" s="6"/>
      <c r="W159" s="6"/>
      <c r="X159" s="6"/>
    </row>
    <row r="160" ht="15.75" customHeight="1">
      <c r="A160" s="4"/>
      <c r="B160" s="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V160" s="6"/>
      <c r="W160" s="6"/>
      <c r="X160" s="6"/>
    </row>
    <row r="161" ht="15.75" customHeight="1">
      <c r="A161" s="4"/>
      <c r="B161" s="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V161" s="6"/>
      <c r="W161" s="6"/>
      <c r="X161" s="6"/>
    </row>
    <row r="162" ht="15.75" customHeight="1">
      <c r="A162" s="4"/>
      <c r="B162" s="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V162" s="6"/>
      <c r="W162" s="6"/>
      <c r="X162" s="6"/>
    </row>
    <row r="163" ht="15.75" customHeight="1">
      <c r="A163" s="4"/>
      <c r="B163" s="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V163" s="6"/>
      <c r="W163" s="6"/>
      <c r="X163" s="6"/>
    </row>
    <row r="164" ht="15.75" customHeight="1">
      <c r="A164" s="4"/>
      <c r="B164" s="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V164" s="6"/>
      <c r="W164" s="6"/>
      <c r="X164" s="6"/>
    </row>
    <row r="165" ht="15.75" customHeight="1">
      <c r="A165" s="4"/>
      <c r="B165" s="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V165" s="6"/>
      <c r="W165" s="6"/>
      <c r="X165" s="6"/>
    </row>
    <row r="166" ht="15.75" customHeight="1">
      <c r="A166" s="4"/>
      <c r="B166" s="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V166" s="6"/>
      <c r="W166" s="6"/>
      <c r="X166" s="6"/>
    </row>
    <row r="167" ht="15.75" customHeight="1">
      <c r="A167" s="4"/>
      <c r="B167" s="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V167" s="6"/>
      <c r="W167" s="6"/>
      <c r="X167" s="6"/>
    </row>
    <row r="168" ht="15.75" customHeight="1">
      <c r="A168" s="4"/>
      <c r="B168" s="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V168" s="6"/>
      <c r="W168" s="6"/>
      <c r="X168" s="6"/>
    </row>
    <row r="169" ht="15.75" customHeight="1">
      <c r="A169" s="4"/>
      <c r="B169" s="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V169" s="6"/>
      <c r="W169" s="6"/>
      <c r="X169" s="6"/>
    </row>
    <row r="170" ht="15.75" customHeight="1">
      <c r="A170" s="4"/>
      <c r="B170" s="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V170" s="6"/>
      <c r="W170" s="6"/>
      <c r="X170" s="6"/>
    </row>
    <row r="171" ht="15.75" customHeight="1">
      <c r="A171" s="4"/>
      <c r="B171" s="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V171" s="6"/>
      <c r="W171" s="6"/>
      <c r="X171" s="6"/>
    </row>
    <row r="172" ht="15.75" customHeight="1">
      <c r="A172" s="4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V172" s="6"/>
      <c r="W172" s="6"/>
      <c r="X172" s="6"/>
    </row>
    <row r="173" ht="15.75" customHeight="1">
      <c r="A173" s="4"/>
      <c r="B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V173" s="6"/>
      <c r="W173" s="6"/>
      <c r="X173" s="6"/>
    </row>
    <row r="174" ht="15.75" customHeight="1">
      <c r="A174" s="4"/>
      <c r="B174" s="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V174" s="6"/>
      <c r="W174" s="6"/>
      <c r="X174" s="6"/>
    </row>
    <row r="175" ht="15.75" customHeight="1">
      <c r="A175" s="4"/>
      <c r="B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V175" s="6"/>
      <c r="W175" s="6"/>
      <c r="X175" s="6"/>
    </row>
    <row r="176" ht="15.75" customHeight="1">
      <c r="A176" s="4"/>
      <c r="B176" s="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V176" s="6"/>
      <c r="W176" s="6"/>
      <c r="X176" s="6"/>
    </row>
    <row r="177" ht="15.75" customHeight="1">
      <c r="A177" s="4"/>
      <c r="B177" s="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V177" s="6"/>
      <c r="W177" s="6"/>
      <c r="X177" s="6"/>
    </row>
    <row r="178" ht="15.75" customHeight="1">
      <c r="A178" s="4"/>
      <c r="B178" s="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V178" s="6"/>
      <c r="W178" s="6"/>
      <c r="X178" s="6"/>
    </row>
    <row r="179" ht="15.75" customHeight="1">
      <c r="A179" s="4"/>
      <c r="B179" s="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V179" s="6"/>
      <c r="W179" s="6"/>
      <c r="X179" s="6"/>
    </row>
    <row r="180" ht="15.75" customHeight="1">
      <c r="A180" s="4"/>
      <c r="B180" s="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V180" s="6"/>
      <c r="W180" s="6"/>
      <c r="X180" s="6"/>
    </row>
    <row r="181" ht="15.75" customHeight="1">
      <c r="A181" s="4"/>
      <c r="B181" s="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V181" s="6"/>
      <c r="W181" s="6"/>
      <c r="X181" s="6"/>
    </row>
    <row r="182" ht="15.75" customHeight="1">
      <c r="A182" s="4"/>
      <c r="B182" s="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V182" s="6"/>
      <c r="W182" s="6"/>
      <c r="X182" s="6"/>
    </row>
    <row r="183" ht="15.75" customHeight="1">
      <c r="A183" s="4"/>
      <c r="B183" s="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V183" s="6"/>
      <c r="W183" s="6"/>
      <c r="X183" s="6"/>
    </row>
    <row r="184" ht="15.75" customHeight="1">
      <c r="A184" s="4"/>
      <c r="B184" s="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V184" s="6"/>
      <c r="W184" s="6"/>
      <c r="X184" s="6"/>
    </row>
    <row r="185" ht="15.75" customHeight="1">
      <c r="A185" s="4"/>
      <c r="B185" s="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V185" s="6"/>
      <c r="W185" s="6"/>
      <c r="X185" s="6"/>
    </row>
    <row r="186" ht="15.75" customHeight="1">
      <c r="A186" s="4"/>
      <c r="B186" s="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V186" s="6"/>
      <c r="W186" s="6"/>
      <c r="X186" s="6"/>
    </row>
    <row r="187" ht="15.75" customHeight="1">
      <c r="A187" s="4"/>
      <c r="B187" s="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V187" s="6"/>
      <c r="W187" s="6"/>
      <c r="X187" s="6"/>
    </row>
    <row r="188" ht="15.75" customHeight="1">
      <c r="A188" s="4"/>
      <c r="B188" s="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V188" s="6"/>
      <c r="W188" s="6"/>
      <c r="X188" s="6"/>
    </row>
    <row r="189" ht="15.75" customHeight="1">
      <c r="A189" s="4"/>
      <c r="B189" s="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V189" s="6"/>
      <c r="W189" s="6"/>
      <c r="X189" s="6"/>
    </row>
    <row r="190" ht="15.75" customHeight="1">
      <c r="A190" s="4"/>
      <c r="B190" s="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V190" s="6"/>
      <c r="W190" s="6"/>
      <c r="X190" s="6"/>
    </row>
    <row r="191" ht="15.75" customHeight="1">
      <c r="A191" s="4"/>
      <c r="B191" s="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V191" s="6"/>
      <c r="W191" s="6"/>
      <c r="X191" s="6"/>
    </row>
    <row r="192" ht="15.75" customHeight="1">
      <c r="A192" s="4"/>
      <c r="B192" s="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V192" s="6"/>
      <c r="W192" s="6"/>
      <c r="X192" s="6"/>
    </row>
    <row r="193" ht="15.75" customHeight="1">
      <c r="A193" s="4"/>
      <c r="B193" s="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V193" s="6"/>
      <c r="W193" s="6"/>
      <c r="X193" s="6"/>
    </row>
    <row r="194" ht="15.75" customHeight="1">
      <c r="A194" s="4"/>
      <c r="B194" s="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V194" s="6"/>
      <c r="W194" s="6"/>
      <c r="X194" s="6"/>
    </row>
    <row r="195" ht="15.75" customHeight="1">
      <c r="A195" s="4"/>
      <c r="B195" s="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V195" s="6"/>
      <c r="W195" s="6"/>
      <c r="X195" s="6"/>
    </row>
    <row r="196" ht="15.75" customHeight="1">
      <c r="A196" s="4"/>
      <c r="B196" s="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V196" s="6"/>
      <c r="W196" s="6"/>
      <c r="X196" s="6"/>
    </row>
    <row r="197" ht="15.75" customHeight="1">
      <c r="A197" s="4"/>
      <c r="B197" s="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V197" s="6"/>
      <c r="W197" s="6"/>
      <c r="X197" s="6"/>
    </row>
    <row r="198" ht="15.75" customHeight="1">
      <c r="A198" s="4"/>
      <c r="B198" s="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V198" s="6"/>
      <c r="W198" s="6"/>
      <c r="X198" s="6"/>
    </row>
    <row r="199" ht="15.75" customHeight="1">
      <c r="A199" s="4"/>
      <c r="B199" s="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V199" s="6"/>
      <c r="W199" s="6"/>
      <c r="X199" s="6"/>
    </row>
    <row r="200" ht="15.75" customHeight="1">
      <c r="A200" s="4"/>
      <c r="B200" s="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V200" s="6"/>
      <c r="W200" s="6"/>
      <c r="X200" s="6"/>
    </row>
    <row r="201" ht="15.75" customHeight="1">
      <c r="A201" s="4"/>
      <c r="B201" s="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V201" s="6"/>
      <c r="W201" s="6"/>
      <c r="X201" s="6"/>
    </row>
    <row r="202" ht="15.75" customHeight="1">
      <c r="A202" s="4"/>
      <c r="B202" s="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V202" s="6"/>
      <c r="W202" s="6"/>
      <c r="X202" s="6"/>
    </row>
    <row r="203" ht="15.75" customHeight="1">
      <c r="A203" s="4"/>
      <c r="B203" s="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V203" s="6"/>
      <c r="W203" s="6"/>
      <c r="X203" s="6"/>
    </row>
    <row r="204" ht="15.75" customHeight="1">
      <c r="A204" s="4"/>
      <c r="B204" s="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V204" s="6"/>
      <c r="W204" s="6"/>
      <c r="X204" s="6"/>
    </row>
    <row r="205" ht="15.75" customHeight="1">
      <c r="A205" s="4"/>
      <c r="B205" s="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V205" s="6"/>
      <c r="W205" s="6"/>
      <c r="X205" s="6"/>
    </row>
    <row r="206" ht="15.75" customHeight="1">
      <c r="A206" s="4"/>
      <c r="B206" s="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V206" s="6"/>
      <c r="W206" s="6"/>
      <c r="X206" s="6"/>
    </row>
    <row r="207" ht="15.75" customHeight="1">
      <c r="A207" s="4"/>
      <c r="B207" s="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V207" s="6"/>
      <c r="W207" s="6"/>
      <c r="X207" s="6"/>
    </row>
    <row r="208" ht="15.75" customHeight="1">
      <c r="A208" s="4"/>
      <c r="B208" s="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V208" s="6"/>
      <c r="W208" s="6"/>
      <c r="X208" s="6"/>
    </row>
    <row r="209" ht="15.75" customHeight="1">
      <c r="A209" s="4"/>
      <c r="B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V209" s="6"/>
      <c r="W209" s="6"/>
      <c r="X209" s="6"/>
    </row>
    <row r="210" ht="15.75" customHeight="1">
      <c r="A210" s="4"/>
      <c r="B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V210" s="6"/>
      <c r="W210" s="6"/>
      <c r="X210" s="6"/>
    </row>
    <row r="211" ht="15.75" customHeight="1">
      <c r="A211" s="4"/>
      <c r="B211" s="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V211" s="6"/>
      <c r="W211" s="6"/>
      <c r="X211" s="6"/>
    </row>
    <row r="212" ht="15.75" customHeight="1">
      <c r="A212" s="4"/>
      <c r="B212" s="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V212" s="6"/>
      <c r="W212" s="6"/>
      <c r="X212" s="6"/>
    </row>
    <row r="213" ht="15.75" customHeight="1">
      <c r="A213" s="4"/>
      <c r="B213" s="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V213" s="6"/>
      <c r="W213" s="6"/>
      <c r="X213" s="6"/>
    </row>
    <row r="214" ht="15.75" customHeight="1">
      <c r="A214" s="4"/>
      <c r="B214" s="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V214" s="6"/>
      <c r="W214" s="6"/>
      <c r="X214" s="6"/>
    </row>
    <row r="215" ht="15.75" customHeight="1">
      <c r="A215" s="4"/>
      <c r="B215" s="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V215" s="6"/>
      <c r="W215" s="6"/>
      <c r="X215" s="6"/>
    </row>
    <row r="216" ht="15.75" customHeight="1">
      <c r="A216" s="4"/>
      <c r="B216" s="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V216" s="6"/>
      <c r="W216" s="6"/>
      <c r="X216" s="6"/>
    </row>
    <row r="217" ht="15.75" customHeight="1">
      <c r="A217" s="4"/>
      <c r="B217" s="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V217" s="6"/>
      <c r="W217" s="6"/>
      <c r="X217" s="6"/>
    </row>
    <row r="218" ht="15.75" customHeight="1">
      <c r="A218" s="4"/>
      <c r="B218" s="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V218" s="6"/>
      <c r="W218" s="6"/>
      <c r="X218" s="6"/>
    </row>
    <row r="219" ht="15.75" customHeight="1">
      <c r="A219" s="4"/>
      <c r="B219" s="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V219" s="6"/>
      <c r="W219" s="6"/>
      <c r="X219" s="6"/>
    </row>
    <row r="220" ht="15.75" customHeight="1">
      <c r="A220" s="4"/>
      <c r="B220" s="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V220" s="6"/>
      <c r="W220" s="6"/>
      <c r="X220" s="6"/>
    </row>
    <row r="221" ht="15.75" customHeight="1">
      <c r="A221" s="4"/>
      <c r="B221" s="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V221" s="6"/>
      <c r="W221" s="6"/>
      <c r="X221" s="6"/>
    </row>
    <row r="222" ht="15.75" customHeight="1">
      <c r="A222" s="4"/>
      <c r="B222" s="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V222" s="6"/>
      <c r="W222" s="6"/>
      <c r="X222" s="6"/>
    </row>
    <row r="223" ht="15.75" customHeight="1">
      <c r="A223" s="4"/>
      <c r="B223" s="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V223" s="6"/>
      <c r="W223" s="6"/>
      <c r="X223" s="6"/>
    </row>
    <row r="224" ht="15.75" customHeight="1">
      <c r="A224" s="4"/>
      <c r="B224" s="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V224" s="6"/>
      <c r="W224" s="6"/>
      <c r="X224" s="6"/>
    </row>
    <row r="225" ht="15.75" customHeight="1">
      <c r="A225" s="4"/>
      <c r="B225" s="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V225" s="6"/>
      <c r="W225" s="6"/>
      <c r="X225" s="6"/>
    </row>
    <row r="226" ht="15.75" customHeight="1">
      <c r="A226" s="4"/>
      <c r="B226" s="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V226" s="6"/>
      <c r="W226" s="6"/>
      <c r="X226" s="6"/>
    </row>
    <row r="227" ht="15.75" customHeight="1">
      <c r="A227" s="4"/>
      <c r="B227" s="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V227" s="6"/>
      <c r="W227" s="6"/>
      <c r="X227" s="6"/>
    </row>
    <row r="228" ht="15.75" customHeight="1">
      <c r="A228" s="4"/>
      <c r="B228" s="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V228" s="6"/>
      <c r="W228" s="6"/>
      <c r="X228" s="6"/>
    </row>
    <row r="229" ht="15.75" customHeight="1">
      <c r="A229" s="4"/>
      <c r="B229" s="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V229" s="6"/>
      <c r="W229" s="6"/>
      <c r="X229" s="6"/>
    </row>
    <row r="230" ht="15.75" customHeight="1">
      <c r="A230" s="4"/>
      <c r="B230" s="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V230" s="6"/>
      <c r="W230" s="6"/>
      <c r="X230" s="6"/>
    </row>
    <row r="231" ht="15.75" customHeight="1">
      <c r="A231" s="4"/>
      <c r="B231" s="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V231" s="6"/>
      <c r="W231" s="6"/>
      <c r="X231" s="6"/>
    </row>
    <row r="232" ht="15.75" customHeight="1">
      <c r="A232" s="4"/>
      <c r="B232" s="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V232" s="6"/>
      <c r="W232" s="6"/>
      <c r="X232" s="6"/>
    </row>
    <row r="233" ht="15.75" customHeight="1">
      <c r="A233" s="4"/>
      <c r="B233" s="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V233" s="6"/>
      <c r="W233" s="6"/>
      <c r="X233" s="6"/>
    </row>
    <row r="234" ht="15.75" customHeight="1">
      <c r="A234" s="4"/>
      <c r="B234" s="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V234" s="6"/>
      <c r="W234" s="6"/>
      <c r="X234" s="6"/>
    </row>
    <row r="235" ht="15.75" customHeight="1">
      <c r="A235" s="4"/>
      <c r="B235" s="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V235" s="6"/>
      <c r="W235" s="6"/>
      <c r="X235" s="6"/>
    </row>
    <row r="236" ht="15.75" customHeight="1">
      <c r="A236" s="4"/>
      <c r="B236" s="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V236" s="6"/>
      <c r="W236" s="6"/>
      <c r="X236" s="6"/>
    </row>
    <row r="237" ht="15.75" customHeight="1">
      <c r="A237" s="4"/>
      <c r="B237" s="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V237" s="6"/>
      <c r="W237" s="6"/>
      <c r="X237" s="6"/>
    </row>
    <row r="238" ht="15.75" customHeight="1">
      <c r="A238" s="4"/>
      <c r="B238" s="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V238" s="6"/>
      <c r="W238" s="6"/>
      <c r="X238" s="6"/>
    </row>
    <row r="239" ht="15.75" customHeight="1">
      <c r="A239" s="4"/>
      <c r="B239" s="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V239" s="6"/>
      <c r="W239" s="6"/>
      <c r="X239" s="6"/>
    </row>
    <row r="240" ht="15.75" customHeight="1">
      <c r="A240" s="4"/>
      <c r="B240" s="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V240" s="6"/>
      <c r="W240" s="6"/>
      <c r="X240" s="6"/>
    </row>
    <row r="241" ht="15.75" customHeight="1">
      <c r="A241" s="4"/>
      <c r="B241" s="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V241" s="6"/>
      <c r="W241" s="6"/>
      <c r="X241" s="6"/>
    </row>
    <row r="242" ht="15.75" customHeight="1">
      <c r="A242" s="4"/>
      <c r="B242" s="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V242" s="6"/>
      <c r="W242" s="6"/>
      <c r="X242" s="6"/>
    </row>
    <row r="243" ht="15.75" customHeight="1">
      <c r="A243" s="4"/>
      <c r="B243" s="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V243" s="6"/>
      <c r="W243" s="6"/>
      <c r="X243" s="6"/>
    </row>
    <row r="244" ht="15.75" customHeight="1">
      <c r="A244" s="4"/>
      <c r="B244" s="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V244" s="6"/>
      <c r="W244" s="6"/>
      <c r="X244" s="6"/>
    </row>
    <row r="245" ht="15.75" customHeight="1">
      <c r="A245" s="4"/>
      <c r="B245" s="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V245" s="6"/>
      <c r="W245" s="6"/>
      <c r="X245" s="6"/>
    </row>
    <row r="246" ht="15.75" customHeight="1">
      <c r="A246" s="4"/>
      <c r="B246" s="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V246" s="6"/>
      <c r="W246" s="6"/>
      <c r="X246" s="6"/>
    </row>
    <row r="247" ht="15.75" customHeight="1">
      <c r="A247" s="4"/>
      <c r="B247" s="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V247" s="6"/>
      <c r="W247" s="6"/>
      <c r="X247" s="6"/>
    </row>
    <row r="248" ht="15.75" customHeight="1">
      <c r="A248" s="4"/>
      <c r="B248" s="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.0"/>
    <col customWidth="1" min="11" max="11" width="8.71"/>
    <col customWidth="1" min="12" max="12" width="1.0"/>
    <col customWidth="1" min="13" max="26" width="8.71"/>
  </cols>
  <sheetData>
    <row r="1">
      <c r="A1" s="202" t="s">
        <v>9</v>
      </c>
      <c r="B1" s="202" t="s">
        <v>10</v>
      </c>
      <c r="C1" s="202" t="s">
        <v>13</v>
      </c>
      <c r="D1" s="202" t="s">
        <v>15</v>
      </c>
      <c r="E1" s="202" t="s">
        <v>17</v>
      </c>
      <c r="F1" s="202" t="s">
        <v>18</v>
      </c>
      <c r="G1" s="202" t="s">
        <v>20</v>
      </c>
      <c r="H1" s="202" t="s">
        <v>22</v>
      </c>
      <c r="I1" s="202" t="s">
        <v>24</v>
      </c>
      <c r="J1" s="202" t="s">
        <v>26</v>
      </c>
      <c r="L1" s="202" t="s">
        <v>600</v>
      </c>
    </row>
    <row r="2">
      <c r="A2" s="202" t="s">
        <v>9</v>
      </c>
      <c r="B2" s="202" t="s">
        <v>40</v>
      </c>
      <c r="C2" s="202" t="s">
        <v>13</v>
      </c>
      <c r="D2" s="202" t="s">
        <v>44</v>
      </c>
      <c r="E2" s="202" t="s">
        <v>17</v>
      </c>
      <c r="F2" s="202" t="s">
        <v>47</v>
      </c>
      <c r="G2" s="202" t="s">
        <v>49</v>
      </c>
      <c r="H2" s="202" t="s">
        <v>22</v>
      </c>
      <c r="I2" s="202" t="s">
        <v>53</v>
      </c>
      <c r="J2" s="202" t="s">
        <v>20</v>
      </c>
      <c r="L2" s="4" t="str">
        <f t="array" ref="L2:L13">INDEX($A$2:$J$13,,MATCH('DPS Calculator'!$C$12,$A$1:$J$1,0))</f>
        <v>Spear</v>
      </c>
    </row>
    <row r="3">
      <c r="A3" s="202" t="s">
        <v>39</v>
      </c>
      <c r="B3" s="202" t="s">
        <v>58</v>
      </c>
      <c r="C3" s="202" t="s">
        <v>59</v>
      </c>
      <c r="D3" s="202" t="s">
        <v>60</v>
      </c>
      <c r="E3" s="202" t="s">
        <v>61</v>
      </c>
      <c r="F3" s="202" t="s">
        <v>62</v>
      </c>
      <c r="G3" s="202" t="s">
        <v>63</v>
      </c>
      <c r="H3" s="202" t="s">
        <v>64</v>
      </c>
      <c r="I3" s="202" t="s">
        <v>65</v>
      </c>
      <c r="J3" s="202" t="s">
        <v>66</v>
      </c>
      <c r="L3" s="202" t="s">
        <v>64</v>
      </c>
    </row>
    <row r="4">
      <c r="A4" s="202" t="s">
        <v>41</v>
      </c>
      <c r="B4" s="202" t="s">
        <v>71</v>
      </c>
      <c r="C4" s="202" t="s">
        <v>72</v>
      </c>
      <c r="D4" s="202" t="s">
        <v>73</v>
      </c>
      <c r="E4" s="202" t="s">
        <v>76</v>
      </c>
      <c r="F4" s="202" t="s">
        <v>78</v>
      </c>
      <c r="G4" s="202" t="s">
        <v>79</v>
      </c>
      <c r="H4" s="202" t="s">
        <v>80</v>
      </c>
      <c r="I4" s="202" t="s">
        <v>81</v>
      </c>
      <c r="J4" s="202" t="s">
        <v>82</v>
      </c>
      <c r="L4" s="202" t="s">
        <v>80</v>
      </c>
    </row>
    <row r="5">
      <c r="A5" s="202" t="s">
        <v>42</v>
      </c>
      <c r="B5" s="202" t="s">
        <v>89</v>
      </c>
      <c r="C5" s="202" t="s">
        <v>90</v>
      </c>
      <c r="D5" s="202" t="s">
        <v>91</v>
      </c>
      <c r="E5" s="202" t="s">
        <v>92</v>
      </c>
      <c r="F5" s="202" t="s">
        <v>93</v>
      </c>
      <c r="G5" s="202" t="s">
        <v>94</v>
      </c>
      <c r="H5" s="202" t="s">
        <v>95</v>
      </c>
      <c r="I5" s="202" t="s">
        <v>96</v>
      </c>
      <c r="J5" s="202" t="s">
        <v>97</v>
      </c>
      <c r="L5" s="202" t="s">
        <v>95</v>
      </c>
    </row>
    <row r="6">
      <c r="A6" s="202" t="s">
        <v>43</v>
      </c>
      <c r="B6" s="202" t="s">
        <v>100</v>
      </c>
      <c r="C6" s="202" t="s">
        <v>113</v>
      </c>
      <c r="D6" s="202" t="s">
        <v>114</v>
      </c>
      <c r="E6" s="202" t="s">
        <v>115</v>
      </c>
      <c r="F6" s="202" t="s">
        <v>116</v>
      </c>
      <c r="G6" s="202" t="s">
        <v>117</v>
      </c>
      <c r="H6" s="202" t="s">
        <v>118</v>
      </c>
      <c r="I6" s="202" t="s">
        <v>119</v>
      </c>
      <c r="J6" s="202" t="s">
        <v>120</v>
      </c>
      <c r="L6" s="202" t="s">
        <v>118</v>
      </c>
    </row>
    <row r="7">
      <c r="A7" s="202" t="s">
        <v>45</v>
      </c>
      <c r="B7" s="202" t="s">
        <v>102</v>
      </c>
      <c r="C7" s="202" t="s">
        <v>124</v>
      </c>
      <c r="D7" s="6"/>
      <c r="E7" s="6"/>
      <c r="F7" s="202" t="s">
        <v>125</v>
      </c>
      <c r="G7" s="6"/>
      <c r="H7" s="202" t="s">
        <v>126</v>
      </c>
      <c r="I7" s="202" t="s">
        <v>127</v>
      </c>
      <c r="J7" s="202" t="s">
        <v>128</v>
      </c>
      <c r="L7" s="202" t="s">
        <v>126</v>
      </c>
    </row>
    <row r="8">
      <c r="A8" s="202" t="s">
        <v>46</v>
      </c>
      <c r="B8" s="202" t="s">
        <v>103</v>
      </c>
      <c r="C8" s="202" t="s">
        <v>132</v>
      </c>
      <c r="D8" s="6"/>
      <c r="E8" s="6"/>
      <c r="F8" s="6"/>
      <c r="G8" s="6"/>
      <c r="H8" s="202" t="s">
        <v>133</v>
      </c>
      <c r="I8" s="202" t="s">
        <v>134</v>
      </c>
      <c r="J8" s="202" t="s">
        <v>135</v>
      </c>
      <c r="L8" s="202" t="s">
        <v>133</v>
      </c>
    </row>
    <row r="9">
      <c r="A9" s="202" t="s">
        <v>48</v>
      </c>
      <c r="B9" s="202" t="s">
        <v>104</v>
      </c>
      <c r="C9" s="6"/>
      <c r="D9" s="6"/>
      <c r="E9" s="6"/>
      <c r="F9" s="6"/>
      <c r="G9" s="6"/>
      <c r="H9" s="202" t="s">
        <v>140</v>
      </c>
      <c r="I9" s="202" t="s">
        <v>141</v>
      </c>
      <c r="J9" s="202" t="s">
        <v>142</v>
      </c>
      <c r="L9" s="202" t="s">
        <v>140</v>
      </c>
    </row>
    <row r="10">
      <c r="A10" s="202" t="s">
        <v>50</v>
      </c>
      <c r="B10" s="202" t="s">
        <v>105</v>
      </c>
      <c r="C10" s="6"/>
      <c r="D10" s="6"/>
      <c r="E10" s="6"/>
      <c r="F10" s="6"/>
      <c r="G10" s="6"/>
      <c r="H10" s="202" t="s">
        <v>145</v>
      </c>
      <c r="I10" s="6"/>
      <c r="J10" s="202" t="s">
        <v>146</v>
      </c>
      <c r="L10" s="202" t="s">
        <v>145</v>
      </c>
    </row>
    <row r="11">
      <c r="A11" s="202" t="s">
        <v>51</v>
      </c>
      <c r="B11" s="202" t="s">
        <v>106</v>
      </c>
      <c r="C11" s="6"/>
      <c r="D11" s="6"/>
      <c r="E11" s="6"/>
      <c r="F11" s="6"/>
      <c r="G11" s="6"/>
      <c r="H11" s="202" t="s">
        <v>152</v>
      </c>
      <c r="I11" s="6"/>
      <c r="J11" s="202" t="s">
        <v>153</v>
      </c>
      <c r="L11" s="202" t="s">
        <v>152</v>
      </c>
    </row>
    <row r="12">
      <c r="A12" s="6"/>
      <c r="B12" s="202" t="s">
        <v>107</v>
      </c>
      <c r="C12" s="6"/>
      <c r="D12" s="6"/>
      <c r="E12" s="6"/>
      <c r="F12" s="6"/>
      <c r="G12" s="6"/>
      <c r="H12" s="6"/>
      <c r="I12" s="6"/>
      <c r="J12" s="202" t="s">
        <v>157</v>
      </c>
      <c r="L12" s="202"/>
    </row>
    <row r="13">
      <c r="A13" s="6"/>
      <c r="B13" s="202" t="s">
        <v>108</v>
      </c>
      <c r="C13" s="6"/>
      <c r="D13" s="6"/>
      <c r="E13" s="6"/>
      <c r="F13" s="6"/>
      <c r="G13" s="6"/>
      <c r="H13" s="6"/>
      <c r="I13" s="6"/>
      <c r="J13" s="6"/>
      <c r="L13" s="202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L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L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L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L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L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L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L1000" s="6"/>
    </row>
  </sheetData>
  <printOptions/>
  <pageMargins bottom="1.0" footer="0.0" header="0.0" left="0.75" right="0.75" top="1.0"/>
  <pageSetup orientation="landscape"/>
  <drawing r:id="rId1"/>
</worksheet>
</file>