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9c5d9dd571f703/Documents/Paradox Interactive/Hearts of Iron IV/mod/HoI4-Teufelshafen/"/>
    </mc:Choice>
  </mc:AlternateContent>
  <xr:revisionPtr revIDLastSave="314" documentId="8_{19F5A673-B50D-44C2-82BA-28A45473C859}" xr6:coauthVersionLast="45" xr6:coauthVersionMax="45" xr10:uidLastSave="{ED9D9EDE-4A47-4CE7-93F9-0B24082A446F}"/>
  <bookViews>
    <workbookView xWindow="38565" yWindow="6585" windowWidth="21600" windowHeight="11385" activeTab="3" xr2:uid="{3E7862DE-1925-4EFE-942C-DDA8785631E1}"/>
  </bookViews>
  <sheets>
    <sheet name="Equipment" sheetId="1" r:id="rId1"/>
    <sheet name="Units" sheetId="2" r:id="rId2"/>
    <sheet name="Ships" sheetId="3" r:id="rId3"/>
    <sheet name="Cost Sketchboo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4" l="1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F21" i="4"/>
  <c r="F20" i="4"/>
  <c r="F19" i="4"/>
  <c r="F12" i="4"/>
  <c r="F7" i="4"/>
  <c r="F11" i="4"/>
  <c r="F10" i="4"/>
  <c r="F9" i="4"/>
  <c r="F8" i="4"/>
  <c r="E15" i="4"/>
  <c r="F15" i="4" s="1"/>
  <c r="F16" i="4"/>
  <c r="F18" i="4"/>
  <c r="F17" i="4"/>
  <c r="F14" i="4"/>
  <c r="F13" i="4"/>
  <c r="P4" i="3" l="1"/>
  <c r="P5" i="3"/>
  <c r="P6" i="3"/>
  <c r="P7" i="3"/>
  <c r="P8" i="3"/>
  <c r="R4" i="3"/>
  <c r="R5" i="3"/>
  <c r="R6" i="3"/>
  <c r="R7" i="3"/>
  <c r="R8" i="3"/>
  <c r="R3" i="3"/>
  <c r="P3" i="3" s="1"/>
  <c r="Y4" i="3"/>
  <c r="Y5" i="3"/>
  <c r="Y6" i="3"/>
  <c r="Y7" i="3"/>
  <c r="Y8" i="3"/>
  <c r="Y3" i="3"/>
  <c r="S19" i="3"/>
  <c r="P4" i="1"/>
  <c r="P5" i="1"/>
  <c r="P6" i="1"/>
  <c r="P7" i="1"/>
  <c r="P3" i="1"/>
  <c r="C4" i="2"/>
  <c r="C5" i="2"/>
  <c r="C3" i="2"/>
  <c r="M6" i="2"/>
  <c r="M5" i="2"/>
</calcChain>
</file>

<file path=xl/sharedStrings.xml><?xml version="1.0" encoding="utf-8"?>
<sst xmlns="http://schemas.openxmlformats.org/spreadsheetml/2006/main" count="101" uniqueCount="69">
  <si>
    <t>Equipment</t>
  </si>
  <si>
    <t>Personnel</t>
  </si>
  <si>
    <t>SA</t>
  </si>
  <si>
    <t>HA</t>
  </si>
  <si>
    <t>AP</t>
  </si>
  <si>
    <t>AA</t>
  </si>
  <si>
    <t>Pers</t>
  </si>
  <si>
    <t>Service Rifle</t>
  </si>
  <si>
    <t>Year</t>
  </si>
  <si>
    <t>Howitzer</t>
  </si>
  <si>
    <t>Field Gun</t>
  </si>
  <si>
    <t>Mortar</t>
  </si>
  <si>
    <t>Machine Gun</t>
  </si>
  <si>
    <t>def</t>
  </si>
  <si>
    <t>brk</t>
  </si>
  <si>
    <t>hard</t>
  </si>
  <si>
    <t>armour</t>
  </si>
  <si>
    <t>l_l_cost</t>
  </si>
  <si>
    <t>IC</t>
  </si>
  <si>
    <t>Unit</t>
  </si>
  <si>
    <t>Eq1</t>
  </si>
  <si>
    <t>Machine Gun Bn</t>
  </si>
  <si>
    <t>Infantry Bn</t>
  </si>
  <si>
    <t>Machine Gun Co</t>
  </si>
  <si>
    <t>Q1</t>
  </si>
  <si>
    <t>Wage</t>
  </si>
  <si>
    <t>Upkeep</t>
  </si>
  <si>
    <t>Eq Cost</t>
  </si>
  <si>
    <t>Wage/yr</t>
  </si>
  <si>
    <t>Eq Cost/yr</t>
  </si>
  <si>
    <t>Destroyer</t>
  </si>
  <si>
    <t>Torpedo Boat</t>
  </si>
  <si>
    <t>Dreadnought</t>
  </si>
  <si>
    <t>Protected (light) Cruiser</t>
  </si>
  <si>
    <t>Armoured (heavy) Cruiser</t>
  </si>
  <si>
    <t>Battleship</t>
  </si>
  <si>
    <t>* yearly cost estimated to 2% of purchase</t>
  </si>
  <si>
    <t>Purchase</t>
  </si>
  <si>
    <t>* wages in thousands of Marks</t>
  </si>
  <si>
    <t>* purchase in Marks</t>
  </si>
  <si>
    <t>RTW</t>
  </si>
  <si>
    <t>RTW B</t>
  </si>
  <si>
    <t>This B</t>
  </si>
  <si>
    <t>Calc</t>
  </si>
  <si>
    <t>* yearly cost in millions of Marks</t>
  </si>
  <si>
    <t>Upkeep (M/mk each)</t>
  </si>
  <si>
    <t>1940 USD</t>
  </si>
  <si>
    <t>1900 Marks</t>
  </si>
  <si>
    <t>USD</t>
  </si>
  <si>
    <t>Marks</t>
  </si>
  <si>
    <t>10.5cm leFH 18 howitzer</t>
  </si>
  <si>
    <t>15cm sFH howitzer</t>
  </si>
  <si>
    <t>Game Category</t>
  </si>
  <si>
    <t>Karabiner 98k</t>
  </si>
  <si>
    <t>MP-40</t>
  </si>
  <si>
    <t>MG-34</t>
  </si>
  <si>
    <t>8cm Gr.W.34</t>
  </si>
  <si>
    <t>3.7cm/45 PaK 36</t>
  </si>
  <si>
    <t>5cm/60 PaK 38</t>
  </si>
  <si>
    <t>7.5 cm/48 PaK 40</t>
  </si>
  <si>
    <t>Fighter</t>
  </si>
  <si>
    <t>Bf 109E</t>
  </si>
  <si>
    <t>Bomber</t>
  </si>
  <si>
    <t>He 111H</t>
  </si>
  <si>
    <t>P-36 Fighter</t>
  </si>
  <si>
    <t>M1917 Enfield rifle</t>
  </si>
  <si>
    <t>R35 light tank</t>
  </si>
  <si>
    <t>Tank</t>
  </si>
  <si>
    <t>PzKpfw 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</si>
</sst>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&quot;$&quot;* #,##0.0_);_(&quot;$&quot;* \(#,##0.0\);_(&quot;$&quot;* &quot;-&quot;??_);_(@_)"/>
    <numFmt numFmtId="167" formatCode="_(&quot;$&quot;* #,##0_);_(&quot;$&quot;* \(#,##0\);_(&quot;$&quot;* &quot;-&quot;??_);_(@_)"/>
    <numFmt numFmtId="168" formatCode="_(* #,##0.000_);_(* \(#,##0.000\);_(* &quot;-&quot;??_);_(@_)"/>
    <numFmt numFmtId="174" formatCode="_(&quot;ℳ&quot;* #,##0_);[Red]\(&quot;ℳ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2" fontId="0" fillId="0" borderId="0" xfId="0" applyNumberFormat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7" fontId="0" fillId="0" borderId="0" xfId="2" applyNumberFormat="1" applyFont="1"/>
    <xf numFmtId="168" fontId="0" fillId="0" borderId="0" xfId="1" applyNumberFormat="1" applyFont="1" applyAlignment="1">
      <alignment horizontal="center"/>
    </xf>
    <xf numFmtId="168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74" fontId="0" fillId="0" borderId="0" xfId="0" applyNumberFormat="1"/>
    <xf numFmtId="174" fontId="0" fillId="0" borderId="0" xfId="0" applyNumberForma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2">
    <dxf>
      <numFmt numFmtId="168" formatCode="_(* #,##0.000_);_(* \(#,##0.000\);_(* &quot;-&quot;??_);_(@_)"/>
    </dxf>
    <dxf>
      <numFmt numFmtId="174" formatCode="_(&quot;ℳ&quot;* #,##0_);[Red]\(&quot;ℳ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B08B9-456A-4A40-8F72-7EFC7EF221EF}" name="Table1" displayName="Table1" ref="C6:G21" totalsRowShown="0">
  <autoFilter ref="C6:G21" xr:uid="{7B1B0FE8-2A1C-4BF5-A915-6584FC47E2C2}"/>
  <sortState xmlns:xlrd2="http://schemas.microsoft.com/office/spreadsheetml/2017/richdata2" ref="C7:F21">
    <sortCondition ref="D6:D21"/>
  </sortState>
  <tableColumns count="5">
    <tableColumn id="1" xr3:uid="{EBA99637-970C-4A4F-8B9F-22A28A6531F3}" name="Equipment"/>
    <tableColumn id="4" xr3:uid="{E4C32A0D-166A-4C76-9580-72893408E60F}" name="Game Category"/>
    <tableColumn id="2" xr3:uid="{EDE583B7-E1B5-4C42-8D70-596DEA322681}" name="USD"/>
    <tableColumn id="3" xr3:uid="{C74E3FAB-1A1B-4814-B384-D4E471AE2598}" name="Marks" dataDxfId="1">
      <calculatedColumnFormula>E7*$B$3/$B$2</calculatedColumnFormula>
    </tableColumn>
    <tableColumn id="5" xr3:uid="{7922A535-6B3A-4A83-9260-18C8CB28C384}" name="IC" dataDxfId="0" dataCellStyle="Comma">
      <calculatedColumnFormula>Table1[[#This Row],[Marks]]*$E$2/$E$3</calculatedColumnFormula>
    </tableColumn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FCFD-50C6-4EEB-9013-24A6A84601D2}">
  <dimension ref="B2:R7"/>
  <sheetViews>
    <sheetView workbookViewId="0">
      <selection activeCell="P6" sqref="P6"/>
    </sheetView>
  </sheetViews>
  <sheetFormatPr defaultRowHeight="15" x14ac:dyDescent="0.25"/>
  <cols>
    <col min="2" max="2" width="13.5703125" bestFit="1" customWidth="1"/>
    <col min="3" max="3" width="4.85546875" bestFit="1" customWidth="1"/>
    <col min="4" max="4" width="4.85546875" style="1" customWidth="1"/>
    <col min="5" max="8" width="7.7109375" style="1" customWidth="1"/>
    <col min="9" max="12" width="7.7109375" customWidth="1"/>
  </cols>
  <sheetData>
    <row r="2" spans="2:18" x14ac:dyDescent="0.25">
      <c r="B2" t="s">
        <v>0</v>
      </c>
      <c r="C2" t="s">
        <v>8</v>
      </c>
      <c r="D2" s="1" t="s">
        <v>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P2" s="1" t="s">
        <v>26</v>
      </c>
      <c r="Q2" s="1" t="s">
        <v>25</v>
      </c>
      <c r="R2" s="1" t="s">
        <v>27</v>
      </c>
    </row>
    <row r="3" spans="2:18" x14ac:dyDescent="0.25">
      <c r="B3" t="s">
        <v>7</v>
      </c>
      <c r="C3">
        <v>1870</v>
      </c>
      <c r="D3" s="1">
        <v>1</v>
      </c>
      <c r="P3" s="4">
        <f>(Q3*D3+R3)/12</f>
        <v>0.03</v>
      </c>
      <c r="Q3">
        <v>0.35</v>
      </c>
      <c r="R3">
        <v>0.01</v>
      </c>
    </row>
    <row r="4" spans="2:18" x14ac:dyDescent="0.25">
      <c r="B4" t="s">
        <v>12</v>
      </c>
      <c r="C4">
        <v>1870</v>
      </c>
      <c r="D4" s="1">
        <v>12</v>
      </c>
      <c r="P4" s="4">
        <f t="shared" ref="P4:P7" si="0">(Q4*D4+R4)/12</f>
        <v>0.36666666666666664</v>
      </c>
      <c r="Q4">
        <v>0.35</v>
      </c>
      <c r="R4">
        <v>0.2</v>
      </c>
    </row>
    <row r="5" spans="2:18" x14ac:dyDescent="0.25">
      <c r="B5" t="s">
        <v>11</v>
      </c>
      <c r="C5">
        <v>1910</v>
      </c>
      <c r="D5" s="1">
        <v>12</v>
      </c>
      <c r="P5" s="4">
        <f t="shared" si="0"/>
        <v>0.35666666666666663</v>
      </c>
      <c r="Q5">
        <v>0.35</v>
      </c>
      <c r="R5">
        <v>0.08</v>
      </c>
    </row>
    <row r="6" spans="2:18" x14ac:dyDescent="0.25">
      <c r="B6" t="s">
        <v>10</v>
      </c>
      <c r="C6">
        <v>1870</v>
      </c>
      <c r="D6" s="1">
        <v>16</v>
      </c>
      <c r="P6" s="4">
        <f t="shared" si="0"/>
        <v>0.56666666666666665</v>
      </c>
      <c r="Q6">
        <v>0.35</v>
      </c>
      <c r="R6">
        <v>1.2</v>
      </c>
    </row>
    <row r="7" spans="2:18" x14ac:dyDescent="0.25">
      <c r="B7" t="s">
        <v>9</v>
      </c>
      <c r="C7">
        <v>1905</v>
      </c>
      <c r="D7" s="1">
        <v>20</v>
      </c>
      <c r="P7" s="4">
        <f t="shared" si="0"/>
        <v>0.68333333333333324</v>
      </c>
      <c r="Q7">
        <v>0.35</v>
      </c>
      <c r="R7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2C16-36BA-4310-81C3-3EEDD1372429}">
  <dimension ref="B2:M6"/>
  <sheetViews>
    <sheetView workbookViewId="0">
      <selection activeCell="B37" sqref="B37"/>
    </sheetView>
  </sheetViews>
  <sheetFormatPr defaultRowHeight="15" x14ac:dyDescent="0.25"/>
  <cols>
    <col min="2" max="2" width="15.42578125" bestFit="1" customWidth="1"/>
    <col min="3" max="3" width="11.42578125" style="3" bestFit="1" customWidth="1"/>
    <col min="4" max="4" width="12.5703125" bestFit="1" customWidth="1"/>
    <col min="5" max="5" width="7" style="3" bestFit="1" customWidth="1"/>
    <col min="6" max="6" width="12" bestFit="1" customWidth="1"/>
  </cols>
  <sheetData>
    <row r="2" spans="2:13" x14ac:dyDescent="0.25">
      <c r="B2" t="s">
        <v>19</v>
      </c>
      <c r="C2" s="3" t="s">
        <v>1</v>
      </c>
      <c r="D2" t="s">
        <v>20</v>
      </c>
      <c r="E2" s="3" t="s">
        <v>24</v>
      </c>
      <c r="G2" s="3"/>
    </row>
    <row r="3" spans="2:13" x14ac:dyDescent="0.25">
      <c r="B3" t="s">
        <v>22</v>
      </c>
      <c r="C3" s="3">
        <f>IFERROR(E3*VLOOKUP(D3,Equipment!$B$3:$D$7,3,FALSE),0)+IFERROR(G3*VLOOKUP(F3,Equipment!$B$3:$D$7,3,FALSE),0)</f>
        <v>1000</v>
      </c>
      <c r="D3" t="s">
        <v>7</v>
      </c>
      <c r="E3" s="3">
        <v>1000</v>
      </c>
    </row>
    <row r="4" spans="2:13" x14ac:dyDescent="0.25">
      <c r="B4" t="s">
        <v>23</v>
      </c>
      <c r="C4" s="3">
        <f>IFERROR(E4*VLOOKUP(D4,Equipment!$B$3:$D$7,3,FALSE),0)+IFERROR(G4*VLOOKUP(F4,Equipment!$B$3:$D$7,3,FALSE),0)</f>
        <v>192</v>
      </c>
      <c r="D4" t="s">
        <v>12</v>
      </c>
      <c r="E4" s="3">
        <v>16</v>
      </c>
    </row>
    <row r="5" spans="2:13" x14ac:dyDescent="0.25">
      <c r="B5" t="s">
        <v>21</v>
      </c>
      <c r="C5" s="3">
        <f>IFERROR(E5*VLOOKUP(D5,Equipment!$B$3:$D$7,3,FALSE),0)+IFERROR(G5*VLOOKUP(F5,Equipment!$B$3:$D$7,3,FALSE),0)</f>
        <v>768</v>
      </c>
      <c r="D5" t="s">
        <v>12</v>
      </c>
      <c r="E5" s="3">
        <v>64</v>
      </c>
      <c r="M5">
        <f>776/64</f>
        <v>12.125</v>
      </c>
    </row>
    <row r="6" spans="2:13" x14ac:dyDescent="0.25">
      <c r="M6">
        <f>190/16</f>
        <v>11.875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562D-1975-48FC-9CA9-8B63E9EB5266}">
  <dimension ref="B2:AA21"/>
  <sheetViews>
    <sheetView workbookViewId="0">
      <selection activeCell="J12" sqref="J12"/>
    </sheetView>
  </sheetViews>
  <sheetFormatPr defaultRowHeight="15" x14ac:dyDescent="0.25"/>
  <cols>
    <col min="2" max="2" width="24.28515625" bestFit="1" customWidth="1"/>
    <col min="4" max="4" width="9.140625" style="5"/>
    <col min="5" max="5" width="3.28515625" bestFit="1" customWidth="1"/>
    <col min="6" max="6" width="3.5703125" bestFit="1" customWidth="1"/>
    <col min="7" max="7" width="3.42578125" bestFit="1" customWidth="1"/>
    <col min="8" max="8" width="3.5703125" bestFit="1" customWidth="1"/>
    <col min="9" max="9" width="4" bestFit="1" customWidth="1"/>
    <col min="10" max="10" width="3.85546875" bestFit="1" customWidth="1"/>
    <col min="11" max="11" width="5" bestFit="1" customWidth="1"/>
    <col min="12" max="12" width="7.42578125" bestFit="1" customWidth="1"/>
    <col min="13" max="13" width="7.7109375" bestFit="1" customWidth="1"/>
    <col min="14" max="14" width="2.7109375" bestFit="1" customWidth="1"/>
    <col min="15" max="15" width="5.7109375" customWidth="1"/>
    <col min="16" max="16" width="11.140625" style="3" customWidth="1"/>
    <col min="17" max="17" width="8.7109375" style="9" bestFit="1" customWidth="1"/>
    <col min="18" max="18" width="11.5703125" style="3" bestFit="1" customWidth="1"/>
    <col min="19" max="19" width="13" style="3" customWidth="1"/>
    <col min="23" max="23" width="10.7109375" customWidth="1"/>
    <col min="24" max="24" width="6.28515625" customWidth="1"/>
    <col min="25" max="25" width="12.5703125" bestFit="1" customWidth="1"/>
    <col min="26" max="26" width="12.140625" bestFit="1" customWidth="1"/>
    <col min="27" max="27" width="11.5703125" bestFit="1" customWidth="1"/>
  </cols>
  <sheetData>
    <row r="2" spans="2:27" x14ac:dyDescent="0.25">
      <c r="B2" t="s">
        <v>0</v>
      </c>
      <c r="C2" t="s">
        <v>8</v>
      </c>
      <c r="D2" s="5" t="s">
        <v>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P2" s="5" t="s">
        <v>45</v>
      </c>
      <c r="Q2" s="8" t="s">
        <v>28</v>
      </c>
      <c r="R2" s="5" t="s">
        <v>29</v>
      </c>
      <c r="S2" s="5" t="s">
        <v>37</v>
      </c>
      <c r="T2" s="6" t="s">
        <v>36</v>
      </c>
      <c r="X2" t="s">
        <v>40</v>
      </c>
      <c r="Y2" t="s">
        <v>43</v>
      </c>
    </row>
    <row r="3" spans="2:27" x14ac:dyDescent="0.25">
      <c r="B3" t="s">
        <v>31</v>
      </c>
      <c r="C3">
        <v>1870</v>
      </c>
      <c r="D3" s="5">
        <v>8</v>
      </c>
      <c r="E3" s="1"/>
      <c r="F3" s="1"/>
      <c r="G3" s="1"/>
      <c r="H3" s="1"/>
      <c r="P3" s="9">
        <f>(Q3*D3)/12/1000+(R3)</f>
        <v>8.2333333333333338E-3</v>
      </c>
      <c r="Q3" s="9">
        <v>0.35</v>
      </c>
      <c r="R3" s="2">
        <f>0.02*S3/1000000</f>
        <v>8.0000000000000002E-3</v>
      </c>
      <c r="S3" s="7">
        <v>400000</v>
      </c>
      <c r="T3" t="s">
        <v>44</v>
      </c>
      <c r="Y3" s="10">
        <f>X3*$S$19/$S$18</f>
        <v>0</v>
      </c>
      <c r="AA3" s="11"/>
    </row>
    <row r="4" spans="2:27" x14ac:dyDescent="0.25">
      <c r="B4" t="s">
        <v>30</v>
      </c>
      <c r="C4">
        <v>1885</v>
      </c>
      <c r="D4" s="5">
        <v>50</v>
      </c>
      <c r="E4" s="1"/>
      <c r="F4" s="1"/>
      <c r="G4" s="1"/>
      <c r="H4" s="1"/>
      <c r="P4" s="9">
        <f t="shared" ref="P4:P8" si="0">(Q4*D4)/12/1000+(R4)</f>
        <v>1.7458333333333333E-2</v>
      </c>
      <c r="Q4" s="9">
        <v>0.35</v>
      </c>
      <c r="R4" s="2">
        <f t="shared" ref="R4:R8" si="1">0.02*S4/1000000</f>
        <v>1.6E-2</v>
      </c>
      <c r="S4" s="7">
        <v>800000</v>
      </c>
      <c r="T4" t="s">
        <v>38</v>
      </c>
      <c r="X4">
        <v>1875</v>
      </c>
      <c r="Y4" s="10">
        <f t="shared" ref="Y4:Y8" si="2">X4*$S$19/$S$18</f>
        <v>641464.24905918573</v>
      </c>
      <c r="AA4" s="11"/>
    </row>
    <row r="5" spans="2:27" x14ac:dyDescent="0.25">
      <c r="B5" t="s">
        <v>33</v>
      </c>
      <c r="C5">
        <v>1885</v>
      </c>
      <c r="E5" s="1"/>
      <c r="F5" s="1"/>
      <c r="G5" s="1"/>
      <c r="H5" s="1"/>
      <c r="P5" s="9">
        <f t="shared" si="0"/>
        <v>0.14000000000000001</v>
      </c>
      <c r="Q5" s="9">
        <v>0.35</v>
      </c>
      <c r="R5" s="2">
        <f t="shared" si="1"/>
        <v>0.14000000000000001</v>
      </c>
      <c r="S5" s="7">
        <v>7000000</v>
      </c>
      <c r="T5" t="s">
        <v>39</v>
      </c>
      <c r="X5">
        <v>21478</v>
      </c>
      <c r="Y5" s="10">
        <f t="shared" si="2"/>
        <v>7347930.2086897027</v>
      </c>
      <c r="AA5" s="11"/>
    </row>
    <row r="6" spans="2:27" x14ac:dyDescent="0.25">
      <c r="B6" t="s">
        <v>34</v>
      </c>
      <c r="C6">
        <v>1870</v>
      </c>
      <c r="E6" s="1"/>
      <c r="F6" s="1"/>
      <c r="G6" s="1"/>
      <c r="H6" s="1"/>
      <c r="P6" s="9">
        <f t="shared" si="0"/>
        <v>0.18</v>
      </c>
      <c r="Q6" s="9">
        <v>0.35</v>
      </c>
      <c r="R6" s="2">
        <f t="shared" si="1"/>
        <v>0.18</v>
      </c>
      <c r="S6" s="7">
        <v>9000000</v>
      </c>
      <c r="X6">
        <v>26126</v>
      </c>
      <c r="Y6" s="10">
        <f t="shared" si="2"/>
        <v>8938077.3178241532</v>
      </c>
      <c r="AA6" s="11"/>
    </row>
    <row r="7" spans="2:27" x14ac:dyDescent="0.25">
      <c r="B7" t="s">
        <v>35</v>
      </c>
      <c r="C7">
        <v>1885</v>
      </c>
      <c r="D7" s="5">
        <v>650</v>
      </c>
      <c r="E7" s="1"/>
      <c r="F7" s="1"/>
      <c r="G7" s="1"/>
      <c r="H7" s="1"/>
      <c r="P7" s="9">
        <f t="shared" si="0"/>
        <v>0.31895833333333334</v>
      </c>
      <c r="Q7" s="9">
        <v>0.35</v>
      </c>
      <c r="R7" s="2">
        <f t="shared" si="1"/>
        <v>0.3</v>
      </c>
      <c r="S7" s="7">
        <v>15000000</v>
      </c>
      <c r="X7">
        <v>43845</v>
      </c>
      <c r="Y7" s="10">
        <f t="shared" si="2"/>
        <v>15000000</v>
      </c>
      <c r="AA7" s="11"/>
    </row>
    <row r="8" spans="2:27" x14ac:dyDescent="0.25">
      <c r="B8" t="s">
        <v>32</v>
      </c>
      <c r="C8">
        <v>1905</v>
      </c>
      <c r="D8" s="5">
        <v>800</v>
      </c>
      <c r="P8" s="9">
        <f t="shared" si="0"/>
        <v>0.72333333333333327</v>
      </c>
      <c r="Q8" s="9">
        <v>0.35</v>
      </c>
      <c r="R8" s="2">
        <f t="shared" si="1"/>
        <v>0.7</v>
      </c>
      <c r="S8" s="7">
        <v>35000000</v>
      </c>
      <c r="Y8" s="10">
        <f t="shared" si="2"/>
        <v>0</v>
      </c>
      <c r="AA8" s="11"/>
    </row>
    <row r="9" spans="2:27" x14ac:dyDescent="0.25">
      <c r="Y9" s="10"/>
    </row>
    <row r="10" spans="2:27" x14ac:dyDescent="0.25">
      <c r="Y10" s="10"/>
    </row>
    <row r="11" spans="2:27" x14ac:dyDescent="0.25">
      <c r="Y11" s="10"/>
    </row>
    <row r="18" spans="17:19" x14ac:dyDescent="0.25">
      <c r="R18" t="s">
        <v>41</v>
      </c>
      <c r="S18">
        <v>43845</v>
      </c>
    </row>
    <row r="19" spans="17:19" x14ac:dyDescent="0.25">
      <c r="R19" t="s">
        <v>42</v>
      </c>
      <c r="S19" s="10">
        <f>S7</f>
        <v>15000000</v>
      </c>
    </row>
    <row r="21" spans="17:19" x14ac:dyDescent="0.25">
      <c r="Q21"/>
      <c r="R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8EAA-2EF8-404A-84BB-7C86C37C65A7}">
  <dimension ref="B2:G32"/>
  <sheetViews>
    <sheetView tabSelected="1" workbookViewId="0">
      <selection activeCell="J12" sqref="J12"/>
    </sheetView>
  </sheetViews>
  <sheetFormatPr defaultRowHeight="15" x14ac:dyDescent="0.25"/>
  <cols>
    <col min="2" max="2" width="11.42578125" customWidth="1"/>
    <col min="3" max="3" width="23" customWidth="1"/>
    <col min="4" max="4" width="17" bestFit="1" customWidth="1"/>
    <col min="5" max="6" width="11.5703125" style="1" customWidth="1"/>
  </cols>
  <sheetData>
    <row r="2" spans="2:7" x14ac:dyDescent="0.25">
      <c r="B2" s="7">
        <v>6560</v>
      </c>
      <c r="C2" t="s">
        <v>46</v>
      </c>
      <c r="E2">
        <v>1</v>
      </c>
      <c r="F2" s="6" t="s">
        <v>18</v>
      </c>
    </row>
    <row r="3" spans="2:7" x14ac:dyDescent="0.25">
      <c r="B3" s="12">
        <v>13309</v>
      </c>
      <c r="C3" t="s">
        <v>47</v>
      </c>
      <c r="E3" s="12">
        <v>1083</v>
      </c>
      <c r="F3" s="6" t="s">
        <v>49</v>
      </c>
    </row>
    <row r="6" spans="2:7" x14ac:dyDescent="0.25">
      <c r="C6" t="s">
        <v>0</v>
      </c>
      <c r="D6" t="s">
        <v>52</v>
      </c>
      <c r="E6" s="1" t="s">
        <v>48</v>
      </c>
      <c r="F6" s="1" t="s">
        <v>49</v>
      </c>
      <c r="G6" t="s">
        <v>18</v>
      </c>
    </row>
    <row r="7" spans="2:7" x14ac:dyDescent="0.25">
      <c r="C7" t="s">
        <v>63</v>
      </c>
      <c r="D7" t="s">
        <v>62</v>
      </c>
      <c r="E7" s="7">
        <v>265650</v>
      </c>
      <c r="F7" s="12">
        <f>E7*$B$3/$B$2</f>
        <v>538953.63567073166</v>
      </c>
      <c r="G7" s="9">
        <f>Table1[[#This Row],[Marks]]*$E$2/$E$3</f>
        <v>497.64878639956754</v>
      </c>
    </row>
    <row r="8" spans="2:7" x14ac:dyDescent="0.25">
      <c r="C8" t="s">
        <v>57</v>
      </c>
      <c r="D8" t="s">
        <v>10</v>
      </c>
      <c r="E8" s="7">
        <v>2292</v>
      </c>
      <c r="F8" s="12">
        <f>E8*$B$3/$B$2</f>
        <v>4650.0347560975606</v>
      </c>
      <c r="G8" s="9">
        <f>Table1[[#This Row],[Marks]]*$E$2/$E$3</f>
        <v>4.293660901290453</v>
      </c>
    </row>
    <row r="9" spans="2:7" x14ac:dyDescent="0.25">
      <c r="C9" t="s">
        <v>58</v>
      </c>
      <c r="D9" t="s">
        <v>10</v>
      </c>
      <c r="E9" s="7">
        <v>4240</v>
      </c>
      <c r="F9" s="12">
        <f>E9*$B$3/$B$2</f>
        <v>8602.1585365853662</v>
      </c>
      <c r="G9" s="9">
        <f>Table1[[#This Row],[Marks]]*$E$2/$E$3</f>
        <v>7.942898002387226</v>
      </c>
    </row>
    <row r="10" spans="2:7" x14ac:dyDescent="0.25">
      <c r="C10" t="s">
        <v>59</v>
      </c>
      <c r="D10" t="s">
        <v>10</v>
      </c>
      <c r="E10" s="7">
        <v>4800</v>
      </c>
      <c r="F10" s="12">
        <f>E10*$B$3/$B$2</f>
        <v>9738.292682926829</v>
      </c>
      <c r="G10" s="9">
        <f>Table1[[#This Row],[Marks]]*$E$2/$E$3</f>
        <v>8.9919600027025197</v>
      </c>
    </row>
    <row r="11" spans="2:7" x14ac:dyDescent="0.25">
      <c r="C11" t="s">
        <v>61</v>
      </c>
      <c r="D11" t="s">
        <v>60</v>
      </c>
      <c r="E11" s="7">
        <v>85970</v>
      </c>
      <c r="F11" s="12">
        <f>E11*$B$3/$B$2</f>
        <v>174416.87957317074</v>
      </c>
      <c r="G11" s="9">
        <f>Table1[[#This Row],[Marks]]*$E$2/$E$3</f>
        <v>161.04975029840327</v>
      </c>
    </row>
    <row r="12" spans="2:7" x14ac:dyDescent="0.25">
      <c r="C12" t="s">
        <v>64</v>
      </c>
      <c r="D12" t="s">
        <v>60</v>
      </c>
      <c r="E12" s="7">
        <v>23000</v>
      </c>
      <c r="F12" s="12">
        <f>E12*$B$3/$B$2</f>
        <v>46662.652439024387</v>
      </c>
      <c r="G12" s="9">
        <f>Table1[[#This Row],[Marks]]*$E$2/$E$3</f>
        <v>43.08647501294957</v>
      </c>
    </row>
    <row r="13" spans="2:7" x14ac:dyDescent="0.25">
      <c r="C13" t="s">
        <v>50</v>
      </c>
      <c r="D13" t="s">
        <v>9</v>
      </c>
      <c r="E13" s="7">
        <v>6560</v>
      </c>
      <c r="F13" s="12">
        <f>E13*$B$3/$B$2</f>
        <v>13309</v>
      </c>
      <c r="G13" s="9">
        <f>Table1[[#This Row],[Marks]]*$E$2/$E$3</f>
        <v>12.289012003693443</v>
      </c>
    </row>
    <row r="14" spans="2:7" x14ac:dyDescent="0.25">
      <c r="C14" t="s">
        <v>51</v>
      </c>
      <c r="D14" t="s">
        <v>9</v>
      </c>
      <c r="E14" s="7">
        <v>15400</v>
      </c>
      <c r="F14" s="12">
        <f>E14*$B$3/$B$2</f>
        <v>31243.689024390245</v>
      </c>
      <c r="G14" s="9">
        <f>Table1[[#This Row],[Marks]]*$E$2/$E$3</f>
        <v>28.849205008670587</v>
      </c>
    </row>
    <row r="15" spans="2:7" x14ac:dyDescent="0.25">
      <c r="C15" t="s">
        <v>55</v>
      </c>
      <c r="D15" t="s">
        <v>12</v>
      </c>
      <c r="E15" s="7">
        <f>131+160</f>
        <v>291</v>
      </c>
      <c r="F15" s="12">
        <f>E15*$B$3/$B$2</f>
        <v>590.38399390243899</v>
      </c>
      <c r="G15" s="9">
        <f>Table1[[#This Row],[Marks]]*$E$2/$E$3</f>
        <v>0.5451375751638402</v>
      </c>
    </row>
    <row r="16" spans="2:7" x14ac:dyDescent="0.25">
      <c r="C16" t="s">
        <v>56</v>
      </c>
      <c r="D16" t="s">
        <v>11</v>
      </c>
      <c r="E16" s="7">
        <v>324</v>
      </c>
      <c r="F16" s="12">
        <f>E16*$B$3/$B$2</f>
        <v>657.33475609756101</v>
      </c>
      <c r="G16" s="9">
        <f>Table1[[#This Row],[Marks]]*$E$2/$E$3</f>
        <v>0.60695730018242011</v>
      </c>
    </row>
    <row r="17" spans="3:7" x14ac:dyDescent="0.25">
      <c r="C17" t="s">
        <v>53</v>
      </c>
      <c r="D17" t="s">
        <v>7</v>
      </c>
      <c r="E17" s="7">
        <v>28</v>
      </c>
      <c r="F17" s="12">
        <f>E17*$B$3/$B$2</f>
        <v>56.806707317073169</v>
      </c>
      <c r="G17" s="9">
        <f>Table1[[#This Row],[Marks]]*$E$2/$E$3</f>
        <v>5.2453100015764698E-2</v>
      </c>
    </row>
    <row r="18" spans="3:7" x14ac:dyDescent="0.25">
      <c r="C18" t="s">
        <v>54</v>
      </c>
      <c r="D18" t="s">
        <v>7</v>
      </c>
      <c r="E18" s="7">
        <v>24</v>
      </c>
      <c r="F18" s="12">
        <f>E18*$B$3/$B$2</f>
        <v>48.69146341463415</v>
      </c>
      <c r="G18" s="9">
        <f>Table1[[#This Row],[Marks]]*$E$2/$E$3</f>
        <v>4.4959800013512602E-2</v>
      </c>
    </row>
    <row r="19" spans="3:7" x14ac:dyDescent="0.25">
      <c r="C19" t="s">
        <v>65</v>
      </c>
      <c r="D19" t="s">
        <v>7</v>
      </c>
      <c r="E19" s="7">
        <v>26</v>
      </c>
      <c r="F19" s="12">
        <f>E19*$B$3/$B$2</f>
        <v>52.749085365853659</v>
      </c>
      <c r="G19" s="9">
        <f>Table1[[#This Row],[Marks]]*$E$2/$E$3</f>
        <v>4.870645001463865E-2</v>
      </c>
    </row>
    <row r="20" spans="3:7" x14ac:dyDescent="0.25">
      <c r="C20" t="s">
        <v>66</v>
      </c>
      <c r="D20" t="s">
        <v>67</v>
      </c>
      <c r="E20" s="7">
        <v>37096</v>
      </c>
      <c r="F20" s="12">
        <f>E20*$B$3/$B$2</f>
        <v>75260.771951219518</v>
      </c>
      <c r="G20" s="9">
        <f>Table1[[#This Row],[Marks]]*$E$2/$E$3</f>
        <v>69.492864220885977</v>
      </c>
    </row>
    <row r="21" spans="3:7" x14ac:dyDescent="0.25">
      <c r="C21" t="s">
        <v>68</v>
      </c>
      <c r="D21" t="s">
        <v>67</v>
      </c>
      <c r="E21" s="7">
        <v>20000</v>
      </c>
      <c r="F21" s="12">
        <f>E21*$B$3/$B$2</f>
        <v>40576.219512195123</v>
      </c>
      <c r="G21" s="9">
        <f>Table1[[#This Row],[Marks]]*$E$2/$E$3</f>
        <v>37.4665000112605</v>
      </c>
    </row>
    <row r="22" spans="3:7" x14ac:dyDescent="0.25">
      <c r="E22" s="7"/>
      <c r="F22" s="12"/>
    </row>
    <row r="23" spans="3:7" x14ac:dyDescent="0.25">
      <c r="E23" s="7"/>
      <c r="F23" s="12"/>
    </row>
    <row r="24" spans="3:7" x14ac:dyDescent="0.25">
      <c r="E24" s="7"/>
      <c r="F24" s="12"/>
    </row>
    <row r="25" spans="3:7" x14ac:dyDescent="0.25">
      <c r="E25" s="7"/>
      <c r="F25" s="12"/>
    </row>
    <row r="26" spans="3:7" x14ac:dyDescent="0.25">
      <c r="E26" s="7"/>
      <c r="F26" s="12"/>
    </row>
    <row r="27" spans="3:7" x14ac:dyDescent="0.25">
      <c r="E27" s="7"/>
      <c r="F27" s="12"/>
    </row>
    <row r="28" spans="3:7" x14ac:dyDescent="0.25">
      <c r="E28" s="7"/>
      <c r="F28" s="12"/>
    </row>
    <row r="29" spans="3:7" x14ac:dyDescent="0.25">
      <c r="E29" s="7"/>
      <c r="F29" s="12"/>
    </row>
    <row r="30" spans="3:7" x14ac:dyDescent="0.25">
      <c r="E30" s="7"/>
      <c r="F30" s="13"/>
    </row>
    <row r="31" spans="3:7" x14ac:dyDescent="0.25">
      <c r="E31" s="7"/>
      <c r="F31" s="13"/>
    </row>
    <row r="32" spans="3:7" x14ac:dyDescent="0.25">
      <c r="E32" s="7"/>
      <c r="F32" s="13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</vt:lpstr>
      <vt:lpstr>Units</vt:lpstr>
      <vt:lpstr>Ships</vt:lpstr>
      <vt:lpstr>Cost Sketchbook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2021-01-01T20:34:19Z</dcterms:created>
  <dcterms:modified xsi:type="dcterms:W3CDTF">2021-01-03T01:33:11Z</dcterms:modified>
</cp:coreProperties>
</file>