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0" windowHeight="0"/>
  </bookViews>
  <sheets>
    <sheet name="Comparison" sheetId="1" r:id="rId1"/>
    <sheet name="Weapon worksheet" sheetId="4" r:id="rId2"/>
    <sheet name="Factors" sheetId="2" r:id="rId3"/>
    <sheet name="Fire control info" sheetId="3" r:id="rId4"/>
    <sheet name="Lookup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4" l="1"/>
  <c r="D34" i="4"/>
  <c r="E34" i="4"/>
  <c r="F34" i="4"/>
  <c r="G34" i="4"/>
  <c r="H34" i="4"/>
  <c r="B34" i="4"/>
  <c r="J57" i="1"/>
  <c r="J46" i="1"/>
  <c r="J39" i="1"/>
  <c r="J61" i="1" s="1"/>
  <c r="J38" i="1"/>
  <c r="J7" i="1" s="1"/>
  <c r="J37" i="1"/>
  <c r="J36" i="1"/>
  <c r="J60" i="1" s="1"/>
  <c r="J35" i="1"/>
  <c r="J34" i="1"/>
  <c r="J59" i="1" s="1"/>
  <c r="J33" i="1"/>
  <c r="J31" i="1"/>
  <c r="J58" i="1" s="1"/>
  <c r="J30" i="1"/>
  <c r="J32" i="1" s="1"/>
  <c r="I57" i="1"/>
  <c r="I46" i="1"/>
  <c r="I39" i="1"/>
  <c r="I61" i="1" s="1"/>
  <c r="I38" i="1"/>
  <c r="I37" i="1"/>
  <c r="I36" i="1"/>
  <c r="I60" i="1" s="1"/>
  <c r="I35" i="1"/>
  <c r="I34" i="1"/>
  <c r="I59" i="1" s="1"/>
  <c r="I33" i="1"/>
  <c r="I31" i="1"/>
  <c r="I58" i="1" s="1"/>
  <c r="I30" i="1"/>
  <c r="I32" i="1" s="1"/>
  <c r="C37" i="1"/>
  <c r="D37" i="1"/>
  <c r="E37" i="1"/>
  <c r="F37" i="1"/>
  <c r="G37" i="1"/>
  <c r="H37" i="1"/>
  <c r="C38" i="1"/>
  <c r="D38" i="1"/>
  <c r="D55" i="1" s="1"/>
  <c r="E38" i="1"/>
  <c r="F38" i="1"/>
  <c r="G38" i="1"/>
  <c r="H38" i="1"/>
  <c r="B38" i="1"/>
  <c r="B37" i="1"/>
  <c r="C57" i="1"/>
  <c r="C46" i="1"/>
  <c r="C39" i="1"/>
  <c r="C61" i="1" s="1"/>
  <c r="C36" i="1"/>
  <c r="C60" i="1" s="1"/>
  <c r="C35" i="1"/>
  <c r="C34" i="1"/>
  <c r="C59" i="1" s="1"/>
  <c r="C33" i="1"/>
  <c r="C31" i="1"/>
  <c r="C58" i="1" s="1"/>
  <c r="C30" i="1"/>
  <c r="C32" i="1" s="1"/>
  <c r="C19" i="4"/>
  <c r="C8" i="4" s="1"/>
  <c r="D19" i="4"/>
  <c r="D8" i="4" s="1"/>
  <c r="E19" i="4"/>
  <c r="F19" i="4"/>
  <c r="F8" i="4" s="1"/>
  <c r="G19" i="4"/>
  <c r="H19" i="4"/>
  <c r="H8" i="4" s="1"/>
  <c r="B8" i="4"/>
  <c r="B19" i="4"/>
  <c r="H17" i="4"/>
  <c r="H5" i="4" s="1"/>
  <c r="H4" i="4" s="1"/>
  <c r="H10" i="4"/>
  <c r="H9" i="4"/>
  <c r="H18" i="4"/>
  <c r="H7" i="4"/>
  <c r="H6" i="4"/>
  <c r="G17" i="4"/>
  <c r="G5" i="4" s="1"/>
  <c r="G10" i="4"/>
  <c r="G9" i="4"/>
  <c r="G18" i="4"/>
  <c r="G7" i="4"/>
  <c r="G6" i="4"/>
  <c r="F17" i="4"/>
  <c r="F5" i="4" s="1"/>
  <c r="F31" i="4" s="1"/>
  <c r="F10" i="4"/>
  <c r="F9" i="4"/>
  <c r="F18" i="4"/>
  <c r="F7" i="4"/>
  <c r="F6" i="4"/>
  <c r="E17" i="4"/>
  <c r="E5" i="4" s="1"/>
  <c r="E10" i="4"/>
  <c r="E9" i="4"/>
  <c r="E18" i="4"/>
  <c r="E8" i="4" s="1"/>
  <c r="E7" i="4"/>
  <c r="E6" i="4"/>
  <c r="E4" i="4" s="1"/>
  <c r="D17" i="4"/>
  <c r="D5" i="4" s="1"/>
  <c r="D10" i="4"/>
  <c r="D9" i="4"/>
  <c r="D18" i="4"/>
  <c r="D7" i="4"/>
  <c r="D6" i="4"/>
  <c r="D4" i="4" s="1"/>
  <c r="C17" i="4"/>
  <c r="C5" i="4" s="1"/>
  <c r="C10" i="4"/>
  <c r="C9" i="4"/>
  <c r="C18" i="4"/>
  <c r="C7" i="4"/>
  <c r="C6" i="4"/>
  <c r="C4" i="4" s="1"/>
  <c r="H57" i="1"/>
  <c r="G57" i="1"/>
  <c r="F57" i="1"/>
  <c r="E57" i="1"/>
  <c r="D57" i="1"/>
  <c r="B57" i="1"/>
  <c r="H46" i="1"/>
  <c r="G46" i="1"/>
  <c r="F46" i="1"/>
  <c r="E46" i="1"/>
  <c r="D46" i="1"/>
  <c r="B46" i="1"/>
  <c r="H39" i="1"/>
  <c r="H61" i="1" s="1"/>
  <c r="G39" i="1"/>
  <c r="G61" i="1" s="1"/>
  <c r="F39" i="1"/>
  <c r="F61" i="1" s="1"/>
  <c r="E39" i="1"/>
  <c r="E61" i="1" s="1"/>
  <c r="D39" i="1"/>
  <c r="D61" i="1" s="1"/>
  <c r="B39" i="1"/>
  <c r="B61" i="1" s="1"/>
  <c r="H55" i="1"/>
  <c r="G55" i="1"/>
  <c r="F55" i="1"/>
  <c r="H36" i="1"/>
  <c r="H60" i="1" s="1"/>
  <c r="G36" i="1"/>
  <c r="G60" i="1" s="1"/>
  <c r="F36" i="1"/>
  <c r="F60" i="1" s="1"/>
  <c r="E36" i="1"/>
  <c r="E60" i="1" s="1"/>
  <c r="D36" i="1"/>
  <c r="D60" i="1" s="1"/>
  <c r="B36" i="1"/>
  <c r="B60" i="1" s="1"/>
  <c r="H35" i="1"/>
  <c r="G35" i="1"/>
  <c r="F35" i="1"/>
  <c r="E35" i="1"/>
  <c r="E4" i="1" s="1"/>
  <c r="D35" i="1"/>
  <c r="B35" i="1"/>
  <c r="H34" i="1"/>
  <c r="H59" i="1" s="1"/>
  <c r="G34" i="1"/>
  <c r="G59" i="1" s="1"/>
  <c r="F34" i="1"/>
  <c r="F59" i="1" s="1"/>
  <c r="E34" i="1"/>
  <c r="E59" i="1" s="1"/>
  <c r="D34" i="1"/>
  <c r="D59" i="1" s="1"/>
  <c r="B34" i="1"/>
  <c r="B59" i="1" s="1"/>
  <c r="H33" i="1"/>
  <c r="H4" i="1" s="1"/>
  <c r="G33" i="1"/>
  <c r="F33" i="1"/>
  <c r="E33" i="1"/>
  <c r="E6" i="1" s="1"/>
  <c r="D33" i="1"/>
  <c r="B33" i="1"/>
  <c r="D32" i="1"/>
  <c r="D6" i="1" s="1"/>
  <c r="B32" i="1"/>
  <c r="H31" i="1"/>
  <c r="H58" i="1" s="1"/>
  <c r="G31" i="1"/>
  <c r="G58" i="1" s="1"/>
  <c r="F31" i="1"/>
  <c r="F58" i="1" s="1"/>
  <c r="E31" i="1"/>
  <c r="E58" i="1" s="1"/>
  <c r="D31" i="1"/>
  <c r="D58" i="1" s="1"/>
  <c r="B31" i="1"/>
  <c r="B58" i="1" s="1"/>
  <c r="H30" i="1"/>
  <c r="H32" i="1" s="1"/>
  <c r="G30" i="1"/>
  <c r="G32" i="1" s="1"/>
  <c r="F30" i="1"/>
  <c r="F32" i="1" s="1"/>
  <c r="E30" i="1"/>
  <c r="E32" i="1" s="1"/>
  <c r="D30" i="1"/>
  <c r="B30" i="1"/>
  <c r="B9" i="4"/>
  <c r="B10" i="4"/>
  <c r="B17" i="4"/>
  <c r="B5" i="4" s="1"/>
  <c r="B18" i="4"/>
  <c r="B6" i="4"/>
  <c r="B7" i="4"/>
  <c r="G8" i="4" l="1"/>
  <c r="G4" i="4"/>
  <c r="B4" i="4"/>
  <c r="F4" i="4"/>
  <c r="D7" i="1"/>
  <c r="B4" i="1"/>
  <c r="B7" i="1"/>
  <c r="H7" i="1"/>
  <c r="E5" i="1"/>
  <c r="G7" i="1"/>
  <c r="F7" i="1"/>
  <c r="I4" i="1"/>
  <c r="G56" i="1"/>
  <c r="E7" i="1"/>
  <c r="J56" i="1"/>
  <c r="J6" i="1"/>
  <c r="J4" i="1"/>
  <c r="J55" i="1"/>
  <c r="J54" i="1" s="1"/>
  <c r="J5" i="1"/>
  <c r="I6" i="1"/>
  <c r="I7" i="1"/>
  <c r="I56" i="1"/>
  <c r="I55" i="1"/>
  <c r="I54" i="1" s="1"/>
  <c r="I5" i="1"/>
  <c r="B55" i="1"/>
  <c r="C7" i="1"/>
  <c r="C5" i="1"/>
  <c r="C6" i="1"/>
  <c r="C56" i="1"/>
  <c r="C4" i="1"/>
  <c r="C55" i="1"/>
  <c r="C54" i="1" s="1"/>
  <c r="F4" i="1"/>
  <c r="F6" i="1"/>
  <c r="D4" i="1"/>
  <c r="G5" i="1"/>
  <c r="F5" i="1"/>
  <c r="H5" i="1"/>
  <c r="D5" i="1"/>
  <c r="H6" i="1"/>
  <c r="H31" i="4"/>
  <c r="H30" i="4"/>
  <c r="H32" i="4" s="1"/>
  <c r="H3" i="4"/>
  <c r="G31" i="4"/>
  <c r="G30" i="4"/>
  <c r="G32" i="4" s="1"/>
  <c r="G3" i="4"/>
  <c r="F3" i="4"/>
  <c r="F30" i="4"/>
  <c r="F32" i="4" s="1"/>
  <c r="E31" i="4"/>
  <c r="E30" i="4"/>
  <c r="E32" i="4" s="1"/>
  <c r="E3" i="4"/>
  <c r="D31" i="4"/>
  <c r="D30" i="4"/>
  <c r="D32" i="4" s="1"/>
  <c r="D3" i="4"/>
  <c r="C31" i="4"/>
  <c r="C30" i="4"/>
  <c r="C32" i="4" s="1"/>
  <c r="C3" i="4"/>
  <c r="D56" i="1"/>
  <c r="D54" i="1"/>
  <c r="H54" i="1"/>
  <c r="H56" i="1"/>
  <c r="E56" i="1"/>
  <c r="B54" i="1"/>
  <c r="G54" i="1"/>
  <c r="F56" i="1"/>
  <c r="F54" i="1"/>
  <c r="G6" i="1"/>
  <c r="B56" i="1"/>
  <c r="G4" i="1"/>
  <c r="B6" i="1"/>
  <c r="B5" i="1"/>
  <c r="E55" i="1"/>
  <c r="E54" i="1" s="1"/>
  <c r="B30" i="4"/>
  <c r="B31" i="4" l="1"/>
  <c r="B3" i="4" l="1"/>
  <c r="B32" i="4" s="1"/>
</calcChain>
</file>

<file path=xl/sharedStrings.xml><?xml version="1.0" encoding="utf-8"?>
<sst xmlns="http://schemas.openxmlformats.org/spreadsheetml/2006/main" count="219" uniqueCount="165">
  <si>
    <t>Comparison of TNDM and QJM armour</t>
  </si>
  <si>
    <t>QJM</t>
  </si>
  <si>
    <t>TNDM</t>
  </si>
  <si>
    <t>Name</t>
  </si>
  <si>
    <t>T-64B</t>
  </si>
  <si>
    <t>M60A1</t>
  </si>
  <si>
    <t>Weapon 1</t>
  </si>
  <si>
    <t>Weapon 2</t>
  </si>
  <si>
    <t>Weapon 3</t>
  </si>
  <si>
    <t>Weapon 4</t>
  </si>
  <si>
    <t>PF</t>
  </si>
  <si>
    <t>Road Speed</t>
  </si>
  <si>
    <t>Radius of action</t>
  </si>
  <si>
    <t>Weight</t>
  </si>
  <si>
    <t>Length</t>
  </si>
  <si>
    <t>Height</t>
  </si>
  <si>
    <t>MOF</t>
  </si>
  <si>
    <t>Di</t>
  </si>
  <si>
    <t>PF_Tom</t>
  </si>
  <si>
    <t>Armour type</t>
  </si>
  <si>
    <t>PF_TNDM</t>
  </si>
  <si>
    <t>PF_QJM</t>
  </si>
  <si>
    <t>M1 Abrams</t>
  </si>
  <si>
    <t>FCE</t>
  </si>
  <si>
    <t>RA</t>
  </si>
  <si>
    <t>RFE</t>
  </si>
  <si>
    <t>AME</t>
  </si>
  <si>
    <t>Tom QJM</t>
  </si>
  <si>
    <t>RA TNDM</t>
  </si>
  <si>
    <t>Horsepower</t>
  </si>
  <si>
    <t>Ground pressure</t>
  </si>
  <si>
    <t>VAF</t>
  </si>
  <si>
    <t>VAF TNDM</t>
  </si>
  <si>
    <t>VisF</t>
  </si>
  <si>
    <t>LLCF (Low light)</t>
  </si>
  <si>
    <t>Visf</t>
  </si>
  <si>
    <t>0.9 for closed vehicles</t>
  </si>
  <si>
    <t>1.0 for open</t>
  </si>
  <si>
    <t>LLCF</t>
  </si>
  <si>
    <t>1.0 minimum</t>
  </si>
  <si>
    <t>TravF</t>
  </si>
  <si>
    <t>0.9 for fixed mount</t>
  </si>
  <si>
    <t>1.0 for manual traverse</t>
  </si>
  <si>
    <t>1.1 for powered traverse</t>
  </si>
  <si>
    <t>TravF (traverse)</t>
  </si>
  <si>
    <t>SGF (Stabilized)</t>
  </si>
  <si>
    <t>RgFF (Range finder)</t>
  </si>
  <si>
    <t>FCCF_cant</t>
  </si>
  <si>
    <t>FCCF_ammo</t>
  </si>
  <si>
    <t>FCCF_crosswind</t>
  </si>
  <si>
    <t>FCCF_barrel</t>
  </si>
  <si>
    <t>SGF</t>
  </si>
  <si>
    <t>1.1 for stabilized guns</t>
  </si>
  <si>
    <t>1.0 for unstabilized</t>
  </si>
  <si>
    <t>RgFF</t>
  </si>
  <si>
    <t>1.0 for stadiametric ranging to</t>
  </si>
  <si>
    <t>1.2 for laser</t>
  </si>
  <si>
    <t>FCCF</t>
  </si>
  <si>
    <t>For fire control, 1.0 if not present</t>
  </si>
  <si>
    <t>1.05 for present in each category</t>
  </si>
  <si>
    <t xml:space="preserve">Cant </t>
  </si>
  <si>
    <t>Ammunition type</t>
  </si>
  <si>
    <t>Crosswind</t>
  </si>
  <si>
    <t>Barrel condition</t>
  </si>
  <si>
    <t>Fire Control System</t>
  </si>
  <si>
    <t>1A33</t>
  </si>
  <si>
    <t>FCS</t>
  </si>
  <si>
    <t>Laser</t>
  </si>
  <si>
    <t>Range correction</t>
  </si>
  <si>
    <t>Target speed</t>
  </si>
  <si>
    <t>Cant correction</t>
  </si>
  <si>
    <t>Comments</t>
  </si>
  <si>
    <t>Used on T-64B and T-80B (1976-1978 ref)</t>
  </si>
  <si>
    <t>Y</t>
  </si>
  <si>
    <t>TTS</t>
  </si>
  <si>
    <t>Used on M60A3 TTS and M1 Abrams</t>
  </si>
  <si>
    <t>Low light</t>
  </si>
  <si>
    <t>IR</t>
  </si>
  <si>
    <t>FLIR</t>
  </si>
  <si>
    <t>Leo 1A4</t>
  </si>
  <si>
    <t>N</t>
  </si>
  <si>
    <t>1974 on Leopard 1A4</t>
  </si>
  <si>
    <t>None</t>
  </si>
  <si>
    <t>?</t>
  </si>
  <si>
    <t>1A40</t>
  </si>
  <si>
    <t>T-72B and late T-72A</t>
  </si>
  <si>
    <t>Volna</t>
  </si>
  <si>
    <t>T-62M/T-55M</t>
  </si>
  <si>
    <t>T-72A</t>
  </si>
  <si>
    <t>T-72A and T-80</t>
  </si>
  <si>
    <t>T-62/64A/72 have no FCS</t>
  </si>
  <si>
    <t>AME (BMF in TNDM)</t>
  </si>
  <si>
    <t>VMF (TNDM)</t>
  </si>
  <si>
    <t>Armour type (Tom)</t>
  </si>
  <si>
    <t>Armour type (TNDM)</t>
  </si>
  <si>
    <t>Weapons QJM</t>
  </si>
  <si>
    <t>Weapons TNDM</t>
  </si>
  <si>
    <t>ASE weapon 1 (TNDM)</t>
  </si>
  <si>
    <t>ASE weapon 2 (TNDM)</t>
  </si>
  <si>
    <t>ASE weapon 3 (TNDM)</t>
  </si>
  <si>
    <t>ASE weapon 4 (TNDM)</t>
  </si>
  <si>
    <t>BRDM-2</t>
  </si>
  <si>
    <t>TNDM factors</t>
  </si>
  <si>
    <t>VMF</t>
  </si>
  <si>
    <t>Weapons</t>
  </si>
  <si>
    <t>RAF (Radius of action)</t>
  </si>
  <si>
    <t>Tom QJM v2</t>
  </si>
  <si>
    <t>1 for unimproved armour</t>
  </si>
  <si>
    <t>1.3025 for super-hard armour with reactive armour</t>
  </si>
  <si>
    <t>Total fire control factors</t>
  </si>
  <si>
    <t>T-55A</t>
  </si>
  <si>
    <t>Factors w/out weapons</t>
  </si>
  <si>
    <t>1.1 for passive IR</t>
  </si>
  <si>
    <t>1.05 for active IR</t>
  </si>
  <si>
    <t>1.2 for thermal</t>
  </si>
  <si>
    <t>ASE (QJM)</t>
  </si>
  <si>
    <t>M1A1 Abrams</t>
  </si>
  <si>
    <t>Calibre</t>
  </si>
  <si>
    <t>PTS</t>
  </si>
  <si>
    <t>RF (rnds/hr)</t>
  </si>
  <si>
    <t>Ammo ratio</t>
  </si>
  <si>
    <t>Supply factor</t>
  </si>
  <si>
    <t>Rate of Fire</t>
  </si>
  <si>
    <t>Rapidity of Fire Effect</t>
  </si>
  <si>
    <t>Weapon</t>
  </si>
  <si>
    <t>RF</t>
  </si>
  <si>
    <t>TLI</t>
  </si>
  <si>
    <t>RIE</t>
  </si>
  <si>
    <t>RN</t>
  </si>
  <si>
    <t>A</t>
  </si>
  <si>
    <t>RL</t>
  </si>
  <si>
    <t>SME</t>
  </si>
  <si>
    <t>GE</t>
  </si>
  <si>
    <t>MCE</t>
  </si>
  <si>
    <t>MBS</t>
  </si>
  <si>
    <t>WHT</t>
  </si>
  <si>
    <t>AE</t>
  </si>
  <si>
    <t>Rate of fire</t>
  </si>
  <si>
    <t>Incapacitation</t>
  </si>
  <si>
    <t>CSW (2 or 4)</t>
  </si>
  <si>
    <t>Range</t>
  </si>
  <si>
    <t>RF (temp)</t>
  </si>
  <si>
    <t>D-10T</t>
  </si>
  <si>
    <t>Accuracy</t>
  </si>
  <si>
    <t>Reliability</t>
  </si>
  <si>
    <t>Ammo store</t>
  </si>
  <si>
    <t>Rapidity of fire</t>
  </si>
  <si>
    <t>Ammo supply</t>
  </si>
  <si>
    <t>Vehicle info</t>
  </si>
  <si>
    <t>PKT</t>
  </si>
  <si>
    <t>DShK</t>
  </si>
  <si>
    <t>Muzzle vel</t>
  </si>
  <si>
    <t>MV</t>
  </si>
  <si>
    <t>1.25 for advanced thermals</t>
  </si>
  <si>
    <t>Chieftain Mk VI</t>
  </si>
  <si>
    <t>Bonus</t>
  </si>
  <si>
    <t>BMP-2</t>
  </si>
  <si>
    <t>BMP-1</t>
  </si>
  <si>
    <t>Tom TLI</t>
  </si>
  <si>
    <t>Penetration</t>
  </si>
  <si>
    <t>PenF</t>
  </si>
  <si>
    <t>2A42</t>
  </si>
  <si>
    <t>2A46</t>
  </si>
  <si>
    <t>M68</t>
  </si>
  <si>
    <t>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</si>
</sst>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#.0&quot; m&quot;;"/>
    <numFmt numFmtId="167" formatCode="#,###.0&quot; t&quot;;"/>
    <numFmt numFmtId="168" formatCode="#,###&quot; km&quot;;"/>
    <numFmt numFmtId="169" formatCode="#,###&quot; kph&quot;;"/>
    <numFmt numFmtId="170" formatCode="#,###&quot; hp&quot;;"/>
    <numFmt numFmtId="171" formatCode="#,###.00&quot; kg/cm2&quot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left" indent="1"/>
    </xf>
    <xf numFmtId="43" fontId="0" fillId="0" borderId="0" xfId="1" applyFont="1" applyAlignment="1">
      <alignment horizontal="right"/>
    </xf>
    <xf numFmtId="0" fontId="2" fillId="2" borderId="1" xfId="2"/>
    <xf numFmtId="165" fontId="2" fillId="2" borderId="1" xfId="2" applyNumberFormat="1" applyAlignment="1">
      <alignment horizontal="center"/>
    </xf>
    <xf numFmtId="0" fontId="4" fillId="3" borderId="1" xfId="4"/>
    <xf numFmtId="165" fontId="4" fillId="3" borderId="1" xfId="4" applyNumberFormat="1" applyAlignment="1">
      <alignment horizontal="center"/>
    </xf>
    <xf numFmtId="164" fontId="4" fillId="3" borderId="1" xfId="4" applyNumberFormat="1" applyAlignment="1">
      <alignment horizontal="center"/>
    </xf>
    <xf numFmtId="0" fontId="3" fillId="3" borderId="2" xfId="3"/>
    <xf numFmtId="165" fontId="3" fillId="3" borderId="2" xfId="3" applyNumberFormat="1" applyAlignment="1">
      <alignment horizontal="center"/>
    </xf>
    <xf numFmtId="164" fontId="3" fillId="3" borderId="2" xfId="3" applyNumberFormat="1" applyAlignment="1">
      <alignment horizontal="center"/>
    </xf>
    <xf numFmtId="43" fontId="4" fillId="3" borderId="1" xfId="4" applyNumberFormat="1" applyAlignment="1">
      <alignment horizontal="center"/>
    </xf>
    <xf numFmtId="169" fontId="2" fillId="2" borderId="1" xfId="2" applyNumberFormat="1" applyAlignment="1">
      <alignment horizontal="right"/>
    </xf>
    <xf numFmtId="170" fontId="2" fillId="2" borderId="1" xfId="2" applyNumberFormat="1" applyAlignment="1">
      <alignment horizontal="right"/>
    </xf>
    <xf numFmtId="171" fontId="2" fillId="2" borderId="1" xfId="2" applyNumberFormat="1" applyAlignment="1">
      <alignment horizontal="right"/>
    </xf>
    <xf numFmtId="168" fontId="2" fillId="2" borderId="1" xfId="2" applyNumberFormat="1" applyAlignment="1">
      <alignment horizontal="right"/>
    </xf>
    <xf numFmtId="167" fontId="2" fillId="2" borderId="1" xfId="2" applyNumberFormat="1" applyAlignment="1">
      <alignment horizontal="right"/>
    </xf>
    <xf numFmtId="166" fontId="2" fillId="2" borderId="1" xfId="2" applyNumberFormat="1" applyAlignment="1">
      <alignment horizontal="right"/>
    </xf>
    <xf numFmtId="43" fontId="2" fillId="2" borderId="1" xfId="2" applyNumberFormat="1" applyAlignment="1">
      <alignment horizontal="right"/>
    </xf>
    <xf numFmtId="43" fontId="2" fillId="2" borderId="1" xfId="2" applyNumberFormat="1" applyAlignment="1">
      <alignment horizontal="center"/>
    </xf>
    <xf numFmtId="3" fontId="0" fillId="0" borderId="0" xfId="0" applyNumberFormat="1"/>
    <xf numFmtId="43" fontId="3" fillId="3" borderId="2" xfId="3" applyNumberFormat="1" applyAlignment="1">
      <alignment horizontal="center"/>
    </xf>
    <xf numFmtId="43" fontId="4" fillId="3" borderId="1" xfId="4" applyNumberFormat="1" applyAlignment="1">
      <alignment horizontal="left" indent="1"/>
    </xf>
    <xf numFmtId="43" fontId="2" fillId="2" borderId="1" xfId="2" applyNumberFormat="1" applyAlignment="1">
      <alignment horizontal="left" indent="1"/>
    </xf>
    <xf numFmtId="43" fontId="4" fillId="3" borderId="1" xfId="4" applyNumberFormat="1" applyAlignment="1">
      <alignment horizontal="left" indent="2"/>
    </xf>
    <xf numFmtId="0" fontId="2" fillId="2" borderId="1" xfId="2" applyAlignment="1">
      <alignment horizontal="right"/>
    </xf>
    <xf numFmtId="0" fontId="3" fillId="3" borderId="2" xfId="3" applyAlignment="1">
      <alignment horizontal="right"/>
    </xf>
    <xf numFmtId="0" fontId="4" fillId="3" borderId="1" xfId="4" applyAlignment="1">
      <alignment horizontal="right"/>
    </xf>
    <xf numFmtId="0" fontId="0" fillId="0" borderId="0" xfId="0" applyAlignment="1">
      <alignment horizontal="right"/>
    </xf>
    <xf numFmtId="165" fontId="2" fillId="2" borderId="1" xfId="2" applyNumberFormat="1" applyAlignment="1">
      <alignment horizontal="left" indent="2"/>
    </xf>
    <xf numFmtId="165" fontId="2" fillId="2" borderId="1" xfId="2" applyNumberFormat="1" applyAlignment="1">
      <alignment horizontal="left" indent="1"/>
    </xf>
  </cellXfs>
  <cellStyles count="5">
    <cellStyle name="Calculation" xfId="4" builtinId="22"/>
    <cellStyle name="Comma" xfId="1" builtinId="3"/>
    <cellStyle name="Input" xfId="2" builtinId="20"/>
    <cellStyle name="Normal" xfId="0" builtinId="0"/>
    <cellStyle name="Output" xfId="3" builtinId="21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FCS"/>
    <tableColumn id="2" name="Laser" dataDxfId="6"/>
    <tableColumn id="9" name="Low light" dataDxfId="5"/>
    <tableColumn id="3" name="Range correction" dataDxfId="4"/>
    <tableColumn id="4" name="Crosswind" dataDxfId="3"/>
    <tableColumn id="5" name="Target speed" dataDxfId="2"/>
    <tableColumn id="6" name="Cant correction" dataDxfId="1"/>
    <tableColumn id="7" name="Barrel condition" dataDxfId="0"/>
    <tableColumn id="8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xSplit="1" ySplit="7" topLeftCell="B13" activePane="bottomRight" state="frozen"/>
      <selection pane="topRight" activeCell="B1" sqref="B1"/>
      <selection pane="bottomLeft" activeCell="A8" sqref="A8"/>
      <selection pane="bottomRight" activeCell="C18" sqref="C18"/>
    </sheetView>
  </sheetViews>
  <sheetFormatPr defaultRowHeight="15" x14ac:dyDescent="0.25"/>
  <cols>
    <col min="1" max="1" width="22.5703125" bestFit="1" customWidth="1"/>
    <col min="2" max="2" width="14.5703125" style="2" bestFit="1" customWidth="1"/>
    <col min="3" max="3" width="14.5703125" style="2" customWidth="1"/>
    <col min="4" max="4" width="10.5703125" style="1" bestFit="1" customWidth="1"/>
    <col min="5" max="5" width="10.85546875" style="1" bestFit="1" customWidth="1"/>
    <col min="6" max="6" width="13.28515625" style="1" bestFit="1" customWidth="1"/>
    <col min="7" max="7" width="10.42578125" bestFit="1" customWidth="1"/>
    <col min="8" max="8" width="10.5703125" bestFit="1" customWidth="1"/>
    <col min="9" max="10" width="12" bestFit="1" customWidth="1"/>
  </cols>
  <sheetData>
    <row r="1" spans="1:10" x14ac:dyDescent="0.25">
      <c r="B1" s="2" t="s">
        <v>0</v>
      </c>
      <c r="G1" t="s">
        <v>17</v>
      </c>
      <c r="H1">
        <v>4000</v>
      </c>
    </row>
    <row r="3" spans="1:10" x14ac:dyDescent="0.25">
      <c r="A3" t="s">
        <v>3</v>
      </c>
      <c r="B3" s="2" t="s">
        <v>4</v>
      </c>
      <c r="C3" s="2" t="s">
        <v>154</v>
      </c>
      <c r="D3" s="1" t="s">
        <v>5</v>
      </c>
      <c r="E3" s="1" t="s">
        <v>22</v>
      </c>
      <c r="F3" s="1" t="s">
        <v>116</v>
      </c>
      <c r="G3" t="s">
        <v>101</v>
      </c>
      <c r="H3" s="2" t="s">
        <v>110</v>
      </c>
      <c r="I3" s="1" t="s">
        <v>156</v>
      </c>
      <c r="J3" s="1" t="s">
        <v>157</v>
      </c>
    </row>
    <row r="4" spans="1:10" s="10" customFormat="1" x14ac:dyDescent="0.25">
      <c r="A4" s="10" t="s">
        <v>1</v>
      </c>
      <c r="B4" s="11">
        <f t="shared" ref="B4:J4" si="0">(B$37*B$33*B$35+B30)*B$28*B$25*B$26*B$27</f>
        <v>1737.8982628776864</v>
      </c>
      <c r="C4" s="11">
        <f t="shared" si="0"/>
        <v>952.72472602535493</v>
      </c>
      <c r="D4" s="11">
        <f t="shared" si="0"/>
        <v>518.29812443853655</v>
      </c>
      <c r="E4" s="11">
        <f t="shared" si="0"/>
        <v>1807.3188956409783</v>
      </c>
      <c r="F4" s="11">
        <f t="shared" si="0"/>
        <v>1823.2483192087036</v>
      </c>
      <c r="G4" s="11">
        <f t="shared" si="0"/>
        <v>12.036122416341822</v>
      </c>
      <c r="H4" s="11">
        <f t="shared" si="0"/>
        <v>305.15014353971145</v>
      </c>
      <c r="I4" s="11">
        <f t="shared" si="0"/>
        <v>525.58627181944212</v>
      </c>
      <c r="J4" s="11">
        <f t="shared" si="0"/>
        <v>149.15297394359763</v>
      </c>
    </row>
    <row r="5" spans="1:10" s="10" customFormat="1" x14ac:dyDescent="0.25">
      <c r="A5" s="10" t="s">
        <v>2</v>
      </c>
      <c r="B5" s="12">
        <f t="shared" ref="B5:J5" si="1">B38*B27*B36*B31*B34*B39</f>
        <v>3157.569549712659</v>
      </c>
      <c r="C5" s="12">
        <f t="shared" si="1"/>
        <v>966.05225510331672</v>
      </c>
      <c r="D5" s="12">
        <f t="shared" si="1"/>
        <v>730.09551614664656</v>
      </c>
      <c r="E5" s="12">
        <f t="shared" si="1"/>
        <v>3175.7551877149249</v>
      </c>
      <c r="F5" s="12">
        <f t="shared" si="1"/>
        <v>3469.9216334605908</v>
      </c>
      <c r="G5" s="12">
        <f t="shared" si="1"/>
        <v>8.323351717040623</v>
      </c>
      <c r="H5" s="12">
        <f t="shared" si="1"/>
        <v>402.2143606265908</v>
      </c>
      <c r="I5" s="12">
        <f t="shared" si="1"/>
        <v>670.86980332681799</v>
      </c>
      <c r="J5" s="12">
        <f t="shared" si="1"/>
        <v>150.77027630829988</v>
      </c>
    </row>
    <row r="6" spans="1:10" s="10" customFormat="1" x14ac:dyDescent="0.25">
      <c r="A6" s="10" t="s">
        <v>27</v>
      </c>
      <c r="B6" s="11">
        <f>(B$37*B$33*B$35+B$32)*B$28*B$25*B$26*B$27</f>
        <v>1757.9338546936924</v>
      </c>
      <c r="C6" s="11">
        <f>(C$37*C$33*C$35+C32)*C$28*C$25*C$26*C$27</f>
        <v>952.72472602535493</v>
      </c>
      <c r="D6" s="11">
        <f>(D$37*D$33*D$35+D32)*D$28*D$25*D$26*D$27</f>
        <v>518.29812443853655</v>
      </c>
      <c r="E6" s="11">
        <f>(E$37*E$33*E$35+E32)*E$28*E$25*E$26*E$27</f>
        <v>1901.5978851985672</v>
      </c>
      <c r="F6" s="11">
        <f>(F$37*F$33*F$35+F32)*F$28*F$25*F$26*F$27</f>
        <v>1925.4920205501553</v>
      </c>
      <c r="G6" s="11">
        <f>(G$37*G$33*G$35+G32)*G$28*G$25*G$26*G$27</f>
        <v>12.036122416341822</v>
      </c>
      <c r="H6" s="11">
        <f>(H$37*H$33*H$35+H$32)*H$28*H$25*H$26*H$27</f>
        <v>305.15014353971145</v>
      </c>
      <c r="I6" s="11">
        <f>(I$37*I$33*I$35+I32)*I$28*I$25*I$26*I$27</f>
        <v>525.58627181944212</v>
      </c>
      <c r="J6" s="11">
        <f>(J$37*J$33*J$35+J32)*J$28*J$25*J$26*J$27</f>
        <v>149.15297394359763</v>
      </c>
    </row>
    <row r="7" spans="1:10" s="10" customFormat="1" x14ac:dyDescent="0.25">
      <c r="A7" s="10" t="s">
        <v>106</v>
      </c>
      <c r="B7" s="11">
        <f t="shared" ref="B7:J7" si="2">(B$38*B$34*B$35*B31)*B$28*B$27*B39</f>
        <v>3368.0741863601702</v>
      </c>
      <c r="C7" s="11">
        <f t="shared" si="2"/>
        <v>1197.9047963281128</v>
      </c>
      <c r="D7" s="11">
        <f t="shared" si="2"/>
        <v>769.03394367446799</v>
      </c>
      <c r="E7" s="11">
        <f t="shared" si="2"/>
        <v>3387.4722002292538</v>
      </c>
      <c r="F7" s="11">
        <f t="shared" si="2"/>
        <v>3701.2497423579644</v>
      </c>
      <c r="G7" s="11">
        <f t="shared" si="2"/>
        <v>9.9880220604487473</v>
      </c>
      <c r="H7" s="11">
        <f t="shared" si="2"/>
        <v>429.02865133503025</v>
      </c>
      <c r="I7" s="11">
        <f t="shared" si="2"/>
        <v>805.04376399218143</v>
      </c>
      <c r="J7" s="11">
        <f t="shared" si="2"/>
        <v>180.92433156995986</v>
      </c>
    </row>
    <row r="8" spans="1:10" s="5" customFormat="1" x14ac:dyDescent="0.25">
      <c r="A8" s="5" t="s">
        <v>6</v>
      </c>
      <c r="B8" s="6">
        <v>2718019</v>
      </c>
      <c r="C8" s="6">
        <v>1873920</v>
      </c>
      <c r="D8" s="6">
        <v>1624918</v>
      </c>
      <c r="E8" s="6">
        <v>2393693</v>
      </c>
      <c r="F8" s="6">
        <v>2393693</v>
      </c>
      <c r="G8" s="6">
        <v>9001</v>
      </c>
      <c r="H8" s="6">
        <v>904116</v>
      </c>
      <c r="I8" s="6">
        <v>312399</v>
      </c>
      <c r="J8" s="6">
        <v>95163</v>
      </c>
    </row>
    <row r="9" spans="1:10" s="5" customFormat="1" x14ac:dyDescent="0.25">
      <c r="A9" s="5" t="s">
        <v>7</v>
      </c>
      <c r="B9" s="6">
        <v>2534096</v>
      </c>
      <c r="C9" s="6">
        <v>3044</v>
      </c>
      <c r="D9" s="6">
        <v>8424</v>
      </c>
      <c r="E9" s="6">
        <v>8424</v>
      </c>
      <c r="F9" s="6">
        <v>8424</v>
      </c>
      <c r="G9" s="6">
        <v>3053</v>
      </c>
      <c r="H9" s="6">
        <v>7083</v>
      </c>
      <c r="I9" s="6">
        <v>1543155</v>
      </c>
      <c r="J9" s="6">
        <v>194851</v>
      </c>
    </row>
    <row r="10" spans="1:10" s="5" customFormat="1" x14ac:dyDescent="0.25">
      <c r="A10" s="5" t="s">
        <v>8</v>
      </c>
      <c r="B10" s="6">
        <v>7083</v>
      </c>
      <c r="C10" s="6">
        <v>3044</v>
      </c>
      <c r="D10" s="6">
        <v>2392</v>
      </c>
      <c r="E10" s="6">
        <v>2392</v>
      </c>
      <c r="F10" s="6">
        <v>2392</v>
      </c>
      <c r="G10" s="6">
        <v>0</v>
      </c>
      <c r="H10" s="6">
        <v>3053</v>
      </c>
      <c r="I10" s="6">
        <v>3053</v>
      </c>
      <c r="J10" s="6">
        <v>3053</v>
      </c>
    </row>
    <row r="11" spans="1:10" s="5" customFormat="1" x14ac:dyDescent="0.25">
      <c r="A11" s="5" t="s">
        <v>9</v>
      </c>
      <c r="B11" s="6">
        <v>3053</v>
      </c>
      <c r="C11" s="6">
        <v>0</v>
      </c>
      <c r="D11" s="6">
        <v>0</v>
      </c>
      <c r="E11" s="6">
        <v>2392</v>
      </c>
      <c r="F11" s="6">
        <v>2392</v>
      </c>
      <c r="G11" s="6">
        <v>0</v>
      </c>
      <c r="H11" s="6"/>
      <c r="I11" s="6"/>
      <c r="J11" s="6"/>
    </row>
    <row r="12" spans="1:10" s="5" customFormat="1" x14ac:dyDescent="0.25">
      <c r="A12" s="5" t="s">
        <v>97</v>
      </c>
      <c r="B12" s="21">
        <v>0.8</v>
      </c>
      <c r="C12" s="21">
        <v>0.8</v>
      </c>
      <c r="D12" s="21">
        <v>0.8</v>
      </c>
      <c r="E12" s="21">
        <v>0.8</v>
      </c>
      <c r="F12" s="21">
        <v>0.8</v>
      </c>
      <c r="G12" s="21">
        <v>0.8</v>
      </c>
      <c r="H12" s="21">
        <v>0.8</v>
      </c>
      <c r="I12" s="21">
        <v>0.8</v>
      </c>
      <c r="J12" s="21">
        <v>0.8</v>
      </c>
    </row>
    <row r="13" spans="1:10" s="5" customFormat="1" x14ac:dyDescent="0.25">
      <c r="A13" s="5" t="s">
        <v>98</v>
      </c>
      <c r="B13" s="21">
        <v>0.11</v>
      </c>
      <c r="C13" s="21">
        <v>0.9</v>
      </c>
      <c r="D13" s="21">
        <v>0.9</v>
      </c>
      <c r="E13" s="21">
        <v>0.9</v>
      </c>
      <c r="F13" s="21">
        <v>0.9</v>
      </c>
      <c r="G13" s="21">
        <v>0.9</v>
      </c>
      <c r="H13" s="21">
        <v>0.9</v>
      </c>
      <c r="I13" s="21">
        <v>0.8</v>
      </c>
      <c r="J13" s="21">
        <v>0.8</v>
      </c>
    </row>
    <row r="14" spans="1:10" s="5" customFormat="1" x14ac:dyDescent="0.25">
      <c r="A14" s="5" t="s">
        <v>99</v>
      </c>
      <c r="B14" s="21">
        <v>0.9</v>
      </c>
      <c r="C14" s="21">
        <v>0.9</v>
      </c>
      <c r="D14" s="21">
        <v>0.9</v>
      </c>
      <c r="E14" s="21">
        <v>0.9</v>
      </c>
      <c r="F14" s="21">
        <v>0.9</v>
      </c>
      <c r="G14" s="21">
        <v>0</v>
      </c>
      <c r="H14" s="21">
        <v>0.9</v>
      </c>
      <c r="I14" s="21">
        <v>1</v>
      </c>
      <c r="J14" s="21">
        <v>1</v>
      </c>
    </row>
    <row r="15" spans="1:10" s="5" customFormat="1" x14ac:dyDescent="0.25">
      <c r="A15" s="5" t="s">
        <v>100</v>
      </c>
      <c r="B15" s="21">
        <v>0.9</v>
      </c>
      <c r="C15" s="21">
        <v>0</v>
      </c>
      <c r="D15" s="21">
        <v>0</v>
      </c>
      <c r="E15" s="21">
        <v>0.9</v>
      </c>
      <c r="F15" s="21">
        <v>0.9</v>
      </c>
      <c r="G15" s="21">
        <v>0</v>
      </c>
      <c r="H15" s="21">
        <v>0</v>
      </c>
      <c r="I15" s="21"/>
      <c r="J15" s="21"/>
    </row>
    <row r="16" spans="1:10" s="5" customFormat="1" x14ac:dyDescent="0.25">
      <c r="A16" s="5" t="s">
        <v>11</v>
      </c>
      <c r="B16" s="14">
        <v>60</v>
      </c>
      <c r="C16" s="14">
        <v>48</v>
      </c>
      <c r="D16" s="14">
        <v>48</v>
      </c>
      <c r="E16" s="14">
        <v>70</v>
      </c>
      <c r="F16" s="14">
        <v>70</v>
      </c>
      <c r="G16" s="14">
        <v>100</v>
      </c>
      <c r="H16" s="14">
        <v>48</v>
      </c>
      <c r="I16" s="14">
        <v>65</v>
      </c>
      <c r="J16" s="14">
        <v>65</v>
      </c>
    </row>
    <row r="17" spans="1:10" s="5" customFormat="1" x14ac:dyDescent="0.25">
      <c r="A17" s="5" t="s">
        <v>29</v>
      </c>
      <c r="B17" s="15">
        <v>700</v>
      </c>
      <c r="C17" s="15">
        <v>750</v>
      </c>
      <c r="D17" s="15">
        <v>750</v>
      </c>
      <c r="E17" s="15">
        <v>1500</v>
      </c>
      <c r="F17" s="15">
        <v>1500</v>
      </c>
      <c r="G17" s="15">
        <v>1500</v>
      </c>
      <c r="H17" s="15">
        <v>500</v>
      </c>
      <c r="I17" s="15">
        <v>300</v>
      </c>
      <c r="J17" s="15">
        <v>300</v>
      </c>
    </row>
    <row r="18" spans="1:10" s="5" customFormat="1" x14ac:dyDescent="0.25">
      <c r="A18" s="5" t="s">
        <v>30</v>
      </c>
      <c r="B18" s="16">
        <v>0.83599999999999997</v>
      </c>
      <c r="C18" s="16">
        <v>0.9</v>
      </c>
      <c r="D18" s="16">
        <v>0.80100000000000005</v>
      </c>
      <c r="E18" s="16">
        <v>0.94899999999999995</v>
      </c>
      <c r="F18" s="16">
        <v>0.94899999999999995</v>
      </c>
      <c r="G18" s="16">
        <v>0.9</v>
      </c>
      <c r="H18" s="16">
        <v>0.81</v>
      </c>
      <c r="I18" s="16">
        <v>0.63</v>
      </c>
      <c r="J18" s="16">
        <v>0.63</v>
      </c>
    </row>
    <row r="19" spans="1:10" s="5" customFormat="1" x14ac:dyDescent="0.25">
      <c r="A19" s="5" t="s">
        <v>12</v>
      </c>
      <c r="B19" s="17">
        <v>500</v>
      </c>
      <c r="C19" s="17">
        <v>500</v>
      </c>
      <c r="D19" s="17">
        <v>500</v>
      </c>
      <c r="E19" s="17">
        <v>400</v>
      </c>
      <c r="F19" s="17">
        <v>400</v>
      </c>
      <c r="G19" s="17">
        <v>750</v>
      </c>
      <c r="H19" s="17">
        <v>400</v>
      </c>
      <c r="I19" s="17">
        <v>600</v>
      </c>
      <c r="J19" s="17">
        <v>600</v>
      </c>
    </row>
    <row r="20" spans="1:10" s="5" customFormat="1" x14ac:dyDescent="0.25">
      <c r="A20" s="5" t="s">
        <v>13</v>
      </c>
      <c r="B20" s="18">
        <v>38</v>
      </c>
      <c r="C20" s="18">
        <v>55</v>
      </c>
      <c r="D20" s="18">
        <v>46</v>
      </c>
      <c r="E20" s="18">
        <v>54</v>
      </c>
      <c r="F20" s="18">
        <v>57</v>
      </c>
      <c r="G20" s="18">
        <v>7</v>
      </c>
      <c r="H20" s="18">
        <v>36</v>
      </c>
      <c r="I20" s="18">
        <v>14.1</v>
      </c>
      <c r="J20" s="18">
        <v>14.1</v>
      </c>
    </row>
    <row r="21" spans="1:10" s="5" customFormat="1" x14ac:dyDescent="0.25">
      <c r="A21" s="5" t="s">
        <v>14</v>
      </c>
      <c r="B21" s="19">
        <v>6.54</v>
      </c>
      <c r="C21" s="19">
        <v>7.52</v>
      </c>
      <c r="D21" s="19">
        <v>6.9459999999999997</v>
      </c>
      <c r="E21" s="19">
        <v>7.93</v>
      </c>
      <c r="F21" s="19">
        <v>7.93</v>
      </c>
      <c r="G21" s="19">
        <v>5.75</v>
      </c>
      <c r="H21" s="19">
        <v>6.04</v>
      </c>
      <c r="I21" s="19">
        <v>6.7350000000000003</v>
      </c>
      <c r="J21" s="19">
        <v>6.7350000000000003</v>
      </c>
    </row>
    <row r="22" spans="1:10" s="5" customFormat="1" x14ac:dyDescent="0.25">
      <c r="A22" s="5" t="s">
        <v>15</v>
      </c>
      <c r="B22" s="19">
        <v>2.1720000000000002</v>
      </c>
      <c r="C22" s="19">
        <v>2.9</v>
      </c>
      <c r="D22" s="19">
        <v>3.2</v>
      </c>
      <c r="E22" s="19">
        <v>2.44</v>
      </c>
      <c r="F22" s="19">
        <v>2.44</v>
      </c>
      <c r="G22" s="19">
        <v>2.31</v>
      </c>
      <c r="H22" s="19">
        <v>2.4</v>
      </c>
      <c r="I22" s="19">
        <v>2.4500000000000002</v>
      </c>
      <c r="J22" s="19">
        <v>2.4500000000000002</v>
      </c>
    </row>
    <row r="23" spans="1:10" s="5" customFormat="1" x14ac:dyDescent="0.25">
      <c r="A23" s="5" t="s">
        <v>94</v>
      </c>
      <c r="B23" s="20">
        <v>1.18</v>
      </c>
      <c r="C23" s="20">
        <v>1</v>
      </c>
      <c r="D23" s="20">
        <v>1</v>
      </c>
      <c r="E23" s="20">
        <v>1.25</v>
      </c>
      <c r="F23" s="20">
        <v>1.3025</v>
      </c>
      <c r="G23" s="20">
        <v>1</v>
      </c>
      <c r="H23" s="20">
        <v>1</v>
      </c>
      <c r="I23" s="20">
        <v>1</v>
      </c>
      <c r="J23" s="20">
        <v>1</v>
      </c>
    </row>
    <row r="24" spans="1:10" s="5" customFormat="1" x14ac:dyDescent="0.25">
      <c r="A24" s="5" t="s">
        <v>93</v>
      </c>
      <c r="B24" s="21">
        <v>1.3</v>
      </c>
      <c r="C24" s="21">
        <v>1</v>
      </c>
      <c r="D24" s="21">
        <v>1</v>
      </c>
      <c r="E24" s="21">
        <v>1.5</v>
      </c>
      <c r="F24" s="21">
        <v>1.5</v>
      </c>
      <c r="G24" s="21">
        <v>1</v>
      </c>
      <c r="H24" s="21">
        <v>1</v>
      </c>
      <c r="I24" s="21">
        <v>1</v>
      </c>
      <c r="J24" s="21">
        <v>1</v>
      </c>
    </row>
    <row r="25" spans="1:10" s="5" customFormat="1" x14ac:dyDescent="0.25">
      <c r="A25" s="5" t="s">
        <v>23</v>
      </c>
      <c r="B25" s="21">
        <v>1.2</v>
      </c>
      <c r="C25" s="21">
        <v>1.2</v>
      </c>
      <c r="D25" s="21">
        <v>0.9</v>
      </c>
      <c r="E25" s="21">
        <v>2</v>
      </c>
      <c r="F25" s="21">
        <v>2</v>
      </c>
      <c r="G25" s="21">
        <v>1</v>
      </c>
      <c r="H25" s="21">
        <v>1</v>
      </c>
      <c r="I25" s="21">
        <v>0.9</v>
      </c>
      <c r="J25" s="21">
        <v>0.9</v>
      </c>
    </row>
    <row r="26" spans="1:10" s="5" customFormat="1" x14ac:dyDescent="0.25">
      <c r="A26" s="5" t="s">
        <v>115</v>
      </c>
      <c r="B26" s="21">
        <v>0.8</v>
      </c>
      <c r="C26" s="21">
        <v>0.8</v>
      </c>
      <c r="D26" s="21">
        <v>0.8</v>
      </c>
      <c r="E26" s="21">
        <v>0.8</v>
      </c>
      <c r="F26" s="21">
        <v>0.8</v>
      </c>
      <c r="G26" s="21">
        <v>0.8</v>
      </c>
      <c r="H26" s="21">
        <v>0.8</v>
      </c>
      <c r="I26" s="21">
        <v>0.8</v>
      </c>
      <c r="J26" s="21">
        <v>0.8</v>
      </c>
    </row>
    <row r="27" spans="1:10" s="5" customFormat="1" x14ac:dyDescent="0.25">
      <c r="A27" s="5" t="s">
        <v>91</v>
      </c>
      <c r="B27" s="21">
        <v>1.05</v>
      </c>
      <c r="C27" s="21">
        <v>1.05</v>
      </c>
      <c r="D27" s="21">
        <v>1.05</v>
      </c>
      <c r="E27" s="21">
        <v>1.05</v>
      </c>
      <c r="F27" s="21">
        <v>1.05</v>
      </c>
      <c r="G27" s="21">
        <v>1.1000000000000001</v>
      </c>
      <c r="H27" s="21">
        <v>1.05</v>
      </c>
      <c r="I27" s="21">
        <v>1.1000000000000001</v>
      </c>
      <c r="J27" s="21">
        <v>1.1000000000000001</v>
      </c>
    </row>
    <row r="28" spans="1:10" s="5" customFormat="1" x14ac:dyDescent="0.25">
      <c r="A28" s="5" t="s">
        <v>25</v>
      </c>
      <c r="B28" s="21">
        <v>0.8</v>
      </c>
      <c r="C28" s="21">
        <v>0.93</v>
      </c>
      <c r="D28" s="21">
        <v>0.79</v>
      </c>
      <c r="E28" s="21">
        <v>0.8</v>
      </c>
      <c r="F28" s="21">
        <v>0.8</v>
      </c>
      <c r="G28" s="21">
        <v>0.9</v>
      </c>
      <c r="H28" s="21">
        <v>0.8</v>
      </c>
      <c r="I28" s="21">
        <v>0.9</v>
      </c>
      <c r="J28" s="21">
        <v>0.9</v>
      </c>
    </row>
    <row r="29" spans="1:10" x14ac:dyDescent="0.25">
      <c r="C29" s="1"/>
      <c r="G29" s="1"/>
      <c r="H29" s="2"/>
      <c r="I29" s="2"/>
      <c r="J29" s="2"/>
    </row>
    <row r="30" spans="1:10" s="7" customFormat="1" x14ac:dyDescent="0.25">
      <c r="A30" s="7" t="s">
        <v>21</v>
      </c>
      <c r="B30" s="9">
        <f t="shared" ref="B30:J30" si="3">B20/4*SQRT(2*B20)</f>
        <v>82.81907992727281</v>
      </c>
      <c r="C30" s="9">
        <f t="shared" si="3"/>
        <v>144.21121662339584</v>
      </c>
      <c r="D30" s="9">
        <f t="shared" si="3"/>
        <v>110.30412503619254</v>
      </c>
      <c r="E30" s="9">
        <f t="shared" si="3"/>
        <v>140.29611541307906</v>
      </c>
      <c r="F30" s="9">
        <f t="shared" si="3"/>
        <v>152.14836509144618</v>
      </c>
      <c r="G30" s="9">
        <f t="shared" si="3"/>
        <v>6.5479004268543974</v>
      </c>
      <c r="H30" s="9">
        <f t="shared" si="3"/>
        <v>76.367532368147124</v>
      </c>
      <c r="I30" s="9">
        <f t="shared" si="3"/>
        <v>18.71904444676597</v>
      </c>
      <c r="J30" s="9">
        <f t="shared" si="3"/>
        <v>18.71904444676597</v>
      </c>
    </row>
    <row r="31" spans="1:10" s="7" customFormat="1" x14ac:dyDescent="0.25">
      <c r="A31" s="7" t="s">
        <v>20</v>
      </c>
      <c r="B31" s="9">
        <f t="shared" ref="B31:J31" si="4">1.2*B23*B20/(2*B22*B21)</f>
        <v>1.8939969925828306</v>
      </c>
      <c r="C31" s="9">
        <f t="shared" si="4"/>
        <v>1.5132061628760087</v>
      </c>
      <c r="D31" s="9">
        <f t="shared" si="4"/>
        <v>1.2417218543046358</v>
      </c>
      <c r="E31" s="9">
        <f t="shared" si="4"/>
        <v>2.0931097926529261</v>
      </c>
      <c r="F31" s="9">
        <f t="shared" si="4"/>
        <v>2.3021882041634796</v>
      </c>
      <c r="G31" s="9">
        <f t="shared" si="4"/>
        <v>0.31620553359683795</v>
      </c>
      <c r="H31" s="9">
        <f t="shared" si="4"/>
        <v>1.490066225165563</v>
      </c>
      <c r="I31" s="9">
        <f t="shared" si="4"/>
        <v>0.51270396800145435</v>
      </c>
      <c r="J31" s="9">
        <f t="shared" si="4"/>
        <v>0.51270396800145435</v>
      </c>
    </row>
    <row r="32" spans="1:10" s="7" customFormat="1" x14ac:dyDescent="0.25">
      <c r="A32" s="7" t="s">
        <v>18</v>
      </c>
      <c r="B32" s="9">
        <f t="shared" ref="B32:J32" si="5">B30*B24</f>
        <v>107.66480390545466</v>
      </c>
      <c r="C32" s="9">
        <f t="shared" si="5"/>
        <v>144.21121662339584</v>
      </c>
      <c r="D32" s="9">
        <f t="shared" si="5"/>
        <v>110.30412503619254</v>
      </c>
      <c r="E32" s="9">
        <f t="shared" si="5"/>
        <v>210.4441731196186</v>
      </c>
      <c r="F32" s="9">
        <f t="shared" si="5"/>
        <v>228.22254763716927</v>
      </c>
      <c r="G32" s="9">
        <f t="shared" si="5"/>
        <v>6.5479004268543974</v>
      </c>
      <c r="H32" s="9">
        <f t="shared" si="5"/>
        <v>76.367532368147124</v>
      </c>
      <c r="I32" s="9">
        <f t="shared" si="5"/>
        <v>18.71904444676597</v>
      </c>
      <c r="J32" s="9">
        <f t="shared" si="5"/>
        <v>18.71904444676597</v>
      </c>
    </row>
    <row r="33" spans="1:10" s="7" customFormat="1" x14ac:dyDescent="0.25">
      <c r="A33" s="7" t="s">
        <v>16</v>
      </c>
      <c r="B33" s="13">
        <f t="shared" ref="B33:J33" si="6">0.15*SQRT(B16)</f>
        <v>1.1618950038622251</v>
      </c>
      <c r="C33" s="13">
        <f t="shared" si="6"/>
        <v>1.0392304845413263</v>
      </c>
      <c r="D33" s="13">
        <f t="shared" si="6"/>
        <v>1.0392304845413263</v>
      </c>
      <c r="E33" s="13">
        <f t="shared" si="6"/>
        <v>1.2549900398011133</v>
      </c>
      <c r="F33" s="13">
        <f t="shared" si="6"/>
        <v>1.2549900398011133</v>
      </c>
      <c r="G33" s="13">
        <f t="shared" si="6"/>
        <v>1.5</v>
      </c>
      <c r="H33" s="13">
        <f t="shared" si="6"/>
        <v>1.0392304845413263</v>
      </c>
      <c r="I33" s="13">
        <f t="shared" si="6"/>
        <v>1.2093386622447824</v>
      </c>
      <c r="J33" s="13">
        <f t="shared" si="6"/>
        <v>1.2093386622447824</v>
      </c>
    </row>
    <row r="34" spans="1:10" s="7" customFormat="1" x14ac:dyDescent="0.25">
      <c r="A34" s="7" t="s">
        <v>92</v>
      </c>
      <c r="B34" s="13">
        <f t="shared" ref="B34:J34" si="7">0.04*SQRT(B17/B20*B16/B18)</f>
        <v>1.4544195362268579</v>
      </c>
      <c r="C34" s="13">
        <f t="shared" si="7"/>
        <v>1.0787197799411874</v>
      </c>
      <c r="D34" s="13">
        <f t="shared" si="7"/>
        <v>1.2503052875854532</v>
      </c>
      <c r="E34" s="13">
        <f t="shared" si="7"/>
        <v>1.8106089164056556</v>
      </c>
      <c r="F34" s="13">
        <f t="shared" si="7"/>
        <v>1.7623173091881328</v>
      </c>
      <c r="G34" s="13">
        <f t="shared" si="7"/>
        <v>6.1721339984836767</v>
      </c>
      <c r="H34" s="13">
        <f t="shared" si="7"/>
        <v>1.147550621098494</v>
      </c>
      <c r="I34" s="13">
        <f t="shared" si="7"/>
        <v>1.8741203047249224</v>
      </c>
      <c r="J34" s="13">
        <f t="shared" si="7"/>
        <v>1.8741203047249224</v>
      </c>
    </row>
    <row r="35" spans="1:10" s="7" customFormat="1" x14ac:dyDescent="0.25">
      <c r="A35" s="7" t="s">
        <v>24</v>
      </c>
      <c r="B35" s="13">
        <f t="shared" ref="B35:J35" si="8">0.08*SQRT(B19)</f>
        <v>1.7888543819998319</v>
      </c>
      <c r="C35" s="13">
        <f t="shared" si="8"/>
        <v>1.7888543819998319</v>
      </c>
      <c r="D35" s="13">
        <f t="shared" si="8"/>
        <v>1.7888543819998319</v>
      </c>
      <c r="E35" s="13">
        <f t="shared" si="8"/>
        <v>1.6</v>
      </c>
      <c r="F35" s="13">
        <f t="shared" si="8"/>
        <v>1.6</v>
      </c>
      <c r="G35" s="13">
        <f t="shared" si="8"/>
        <v>2.1908902300206647</v>
      </c>
      <c r="H35" s="13">
        <f t="shared" si="8"/>
        <v>1.6</v>
      </c>
      <c r="I35" s="13">
        <f t="shared" si="8"/>
        <v>1.9595917942265424</v>
      </c>
      <c r="J35" s="13">
        <f t="shared" si="8"/>
        <v>1.9595917942265424</v>
      </c>
    </row>
    <row r="36" spans="1:10" s="7" customFormat="1" x14ac:dyDescent="0.25">
      <c r="A36" s="7" t="s">
        <v>28</v>
      </c>
      <c r="B36" s="9">
        <f t="shared" ref="B36:J36" si="9">0.06*SQRT(B19)</f>
        <v>1.3416407864998738</v>
      </c>
      <c r="C36" s="9">
        <f t="shared" si="9"/>
        <v>1.3416407864998738</v>
      </c>
      <c r="D36" s="9">
        <f t="shared" si="9"/>
        <v>1.3416407864998738</v>
      </c>
      <c r="E36" s="9">
        <f t="shared" si="9"/>
        <v>1.2</v>
      </c>
      <c r="F36" s="9">
        <f t="shared" si="9"/>
        <v>1.2</v>
      </c>
      <c r="G36" s="9">
        <f t="shared" si="9"/>
        <v>1.6431676725154984</v>
      </c>
      <c r="H36" s="9">
        <f t="shared" si="9"/>
        <v>1.2</v>
      </c>
      <c r="I36" s="9">
        <f t="shared" si="9"/>
        <v>1.4696938456699067</v>
      </c>
      <c r="J36" s="9">
        <f t="shared" si="9"/>
        <v>1.4696938456699067</v>
      </c>
    </row>
    <row r="37" spans="1:10" s="7" customFormat="1" x14ac:dyDescent="0.25">
      <c r="A37" s="7" t="s">
        <v>95</v>
      </c>
      <c r="B37" s="8">
        <f>(B8+0.5*B9+0.33*B10+0.25*B11)/$H$1+B52</f>
        <v>997.04191000000003</v>
      </c>
      <c r="C37" s="8">
        <f t="shared" ref="C37:H37" si="10">(C8+0.5*C9+0.33*C10+0.25*C11)/$H$1+C52</f>
        <v>469.11162999999999</v>
      </c>
      <c r="D37" s="8">
        <f t="shared" si="10"/>
        <v>407.47984000000002</v>
      </c>
      <c r="E37" s="8">
        <f t="shared" si="10"/>
        <v>599.82308999999998</v>
      </c>
      <c r="F37" s="8">
        <f t="shared" si="10"/>
        <v>599.82308999999998</v>
      </c>
      <c r="G37" s="8">
        <f t="shared" si="10"/>
        <v>2.631875</v>
      </c>
      <c r="H37" s="8">
        <f t="shared" si="10"/>
        <v>227.1662475</v>
      </c>
      <c r="I37" s="8">
        <f>(I8+0.5*I9+0.33*I10+0.25*I11)/$H$1+I52</f>
        <v>303.24599749999999</v>
      </c>
      <c r="J37" s="8">
        <f>(J8+0.5*J9+0.33*J10+0.25*J11)/$H$1+J52</f>
        <v>80.398997500000007</v>
      </c>
    </row>
    <row r="38" spans="1:10" s="7" customFormat="1" x14ac:dyDescent="0.25">
      <c r="A38" s="7" t="s">
        <v>96</v>
      </c>
      <c r="B38" s="8">
        <f>SUMPRODUCT(B8:B11,B12:B15)/$H$1+B52</f>
        <v>615.57204000000013</v>
      </c>
      <c r="C38" s="8">
        <f t="shared" ref="C38:H38" si="11">SUMPRODUCT(C8:C11,C12:C15)/$H$1+C52</f>
        <v>376.15380000000005</v>
      </c>
      <c r="D38" s="8">
        <f t="shared" si="11"/>
        <v>327.41720000000009</v>
      </c>
      <c r="E38" s="8">
        <f t="shared" si="11"/>
        <v>481.71040000000011</v>
      </c>
      <c r="F38" s="8">
        <f t="shared" si="11"/>
        <v>481.71040000000011</v>
      </c>
      <c r="G38" s="8">
        <f t="shared" si="11"/>
        <v>2.4871249999999998</v>
      </c>
      <c r="H38" s="8">
        <f t="shared" si="11"/>
        <v>183.10379999999998</v>
      </c>
      <c r="I38" s="8">
        <f>SUMPRODUCT(I8:I11,I12:I15)/$H$1+I52</f>
        <v>403.87405000000001</v>
      </c>
      <c r="J38" s="8">
        <f>SUMPRODUCT(J8:J11,J12:J15)/$H$1+J52</f>
        <v>90.766050000000007</v>
      </c>
    </row>
    <row r="39" spans="1:10" s="7" customFormat="1" x14ac:dyDescent="0.25">
      <c r="A39" s="7" t="s">
        <v>32</v>
      </c>
      <c r="B39" s="13">
        <f t="shared" ref="B39:J39" si="12">SQRT(B40*B41*B42*B43*B44*B47*B48*B49*B50)</f>
        <v>1.3218418680954243</v>
      </c>
      <c r="C39" s="13">
        <f t="shared" si="12"/>
        <v>1.1168706281391771</v>
      </c>
      <c r="D39" s="13">
        <f t="shared" si="12"/>
        <v>1.0195587280779856</v>
      </c>
      <c r="E39" s="13">
        <f t="shared" si="12"/>
        <v>1.380618803652913</v>
      </c>
      <c r="F39" s="13">
        <f t="shared" si="12"/>
        <v>1.4090881659339136</v>
      </c>
      <c r="G39" s="13">
        <f t="shared" si="12"/>
        <v>0.94868329805051377</v>
      </c>
      <c r="H39" s="13">
        <f t="shared" si="12"/>
        <v>1.0195587280779856</v>
      </c>
      <c r="I39" s="13">
        <f t="shared" si="12"/>
        <v>1.069322215237297</v>
      </c>
      <c r="J39" s="13">
        <f t="shared" si="12"/>
        <v>1.069322215237297</v>
      </c>
    </row>
    <row r="40" spans="1:10" s="5" customFormat="1" x14ac:dyDescent="0.25">
      <c r="A40" s="5" t="s">
        <v>33</v>
      </c>
      <c r="B40" s="21">
        <v>0.9</v>
      </c>
      <c r="C40" s="21">
        <v>0.9</v>
      </c>
      <c r="D40" s="21">
        <v>0.9</v>
      </c>
      <c r="E40" s="21">
        <v>0.9</v>
      </c>
      <c r="F40" s="21">
        <v>0.9</v>
      </c>
      <c r="G40" s="21">
        <v>0.9</v>
      </c>
      <c r="H40" s="21">
        <v>0.9</v>
      </c>
      <c r="I40" s="21">
        <v>0.9</v>
      </c>
      <c r="J40" s="21">
        <v>0.9</v>
      </c>
    </row>
    <row r="41" spans="1:10" s="5" customFormat="1" x14ac:dyDescent="0.25">
      <c r="A41" s="5" t="s">
        <v>34</v>
      </c>
      <c r="B41" s="21">
        <v>1.1000000000000001</v>
      </c>
      <c r="C41" s="21">
        <v>1.05</v>
      </c>
      <c r="D41" s="21">
        <v>1.05</v>
      </c>
      <c r="E41" s="21">
        <v>1.2</v>
      </c>
      <c r="F41" s="21">
        <v>1.25</v>
      </c>
      <c r="G41" s="21">
        <v>1</v>
      </c>
      <c r="H41" s="21">
        <v>1.05</v>
      </c>
      <c r="I41" s="21">
        <v>1.05</v>
      </c>
      <c r="J41" s="21">
        <v>1.05</v>
      </c>
    </row>
    <row r="42" spans="1:10" s="5" customFormat="1" x14ac:dyDescent="0.25">
      <c r="A42" s="5" t="s">
        <v>44</v>
      </c>
      <c r="B42" s="21">
        <v>1.1000000000000001</v>
      </c>
      <c r="C42" s="21">
        <v>1.1000000000000001</v>
      </c>
      <c r="D42" s="21">
        <v>1.1000000000000001</v>
      </c>
      <c r="E42" s="21">
        <v>1.1000000000000001</v>
      </c>
      <c r="F42" s="21">
        <v>1.1000000000000001</v>
      </c>
      <c r="G42" s="21">
        <v>1</v>
      </c>
      <c r="H42" s="21">
        <v>1.1000000000000001</v>
      </c>
      <c r="I42" s="21">
        <v>1.1000000000000001</v>
      </c>
      <c r="J42" s="21">
        <v>1.1000000000000001</v>
      </c>
    </row>
    <row r="43" spans="1:10" s="5" customFormat="1" x14ac:dyDescent="0.25">
      <c r="A43" s="5" t="s">
        <v>45</v>
      </c>
      <c r="B43" s="21">
        <v>1.1000000000000001</v>
      </c>
      <c r="C43" s="21">
        <v>1</v>
      </c>
      <c r="D43" s="21">
        <v>1</v>
      </c>
      <c r="E43" s="21">
        <v>1.1000000000000001</v>
      </c>
      <c r="F43" s="21">
        <v>1.1000000000000001</v>
      </c>
      <c r="G43" s="21">
        <v>1</v>
      </c>
      <c r="H43" s="21">
        <v>1</v>
      </c>
      <c r="I43" s="21">
        <v>1.1000000000000001</v>
      </c>
      <c r="J43" s="21">
        <v>1.1000000000000001</v>
      </c>
    </row>
    <row r="44" spans="1:10" s="5" customFormat="1" x14ac:dyDescent="0.25">
      <c r="A44" s="5" t="s">
        <v>46</v>
      </c>
      <c r="B44" s="21">
        <v>1.2</v>
      </c>
      <c r="C44" s="21">
        <v>1.2</v>
      </c>
      <c r="D44" s="21">
        <v>1</v>
      </c>
      <c r="E44" s="21">
        <v>1.2</v>
      </c>
      <c r="F44" s="21">
        <v>1.2</v>
      </c>
      <c r="G44" s="21">
        <v>1</v>
      </c>
      <c r="H44" s="21">
        <v>1</v>
      </c>
      <c r="I44" s="21">
        <v>1</v>
      </c>
      <c r="J44" s="21">
        <v>1</v>
      </c>
    </row>
    <row r="45" spans="1:10" s="5" customFormat="1" x14ac:dyDescent="0.25">
      <c r="A45" s="5" t="s">
        <v>64</v>
      </c>
      <c r="B45" s="21" t="s">
        <v>65</v>
      </c>
      <c r="C45" s="21"/>
      <c r="D45" s="21"/>
      <c r="E45" s="21" t="s">
        <v>74</v>
      </c>
      <c r="F45" s="21" t="s">
        <v>74</v>
      </c>
      <c r="G45" s="21"/>
      <c r="H45" s="21"/>
      <c r="I45" s="21"/>
      <c r="J45" s="21"/>
    </row>
    <row r="46" spans="1:10" s="7" customFormat="1" x14ac:dyDescent="0.25">
      <c r="A46" s="7" t="s">
        <v>109</v>
      </c>
      <c r="B46" s="13">
        <f t="shared" ref="B46:J46" si="13">PRODUCT(B48:B50)*B41*B44*B43</f>
        <v>1.6808715000000007</v>
      </c>
      <c r="C46" s="13">
        <f t="shared" si="13"/>
        <v>1.26</v>
      </c>
      <c r="D46" s="13">
        <f t="shared" si="13"/>
        <v>1.05</v>
      </c>
      <c r="E46" s="13">
        <f t="shared" si="13"/>
        <v>1.8336780000000004</v>
      </c>
      <c r="F46" s="13">
        <f t="shared" si="13"/>
        <v>1.9100812500000004</v>
      </c>
      <c r="G46" s="13">
        <f t="shared" si="13"/>
        <v>1</v>
      </c>
      <c r="H46" s="13">
        <f t="shared" si="13"/>
        <v>1.05</v>
      </c>
      <c r="I46" s="13">
        <f t="shared" si="13"/>
        <v>1.1550000000000002</v>
      </c>
      <c r="J46" s="13">
        <f t="shared" si="13"/>
        <v>1.1550000000000002</v>
      </c>
    </row>
    <row r="47" spans="1:10" s="5" customFormat="1" x14ac:dyDescent="0.25">
      <c r="A47" s="5" t="s">
        <v>47</v>
      </c>
      <c r="B47" s="21">
        <v>1.05</v>
      </c>
      <c r="C47" s="21">
        <v>1</v>
      </c>
      <c r="D47" s="21">
        <v>1</v>
      </c>
      <c r="E47" s="21">
        <v>1.05</v>
      </c>
      <c r="F47" s="21">
        <v>1.05</v>
      </c>
      <c r="G47" s="21">
        <v>1</v>
      </c>
      <c r="H47" s="21">
        <v>1</v>
      </c>
      <c r="I47" s="21">
        <v>1</v>
      </c>
      <c r="J47" s="21">
        <v>1</v>
      </c>
    </row>
    <row r="48" spans="1:10" s="5" customFormat="1" x14ac:dyDescent="0.25">
      <c r="A48" s="5" t="s">
        <v>48</v>
      </c>
      <c r="B48" s="21">
        <v>1.05</v>
      </c>
      <c r="C48" s="21">
        <v>1</v>
      </c>
      <c r="D48" s="21">
        <v>1</v>
      </c>
      <c r="E48" s="21">
        <v>1.05</v>
      </c>
      <c r="F48" s="21">
        <v>1.05</v>
      </c>
      <c r="G48" s="21">
        <v>1</v>
      </c>
      <c r="H48" s="21">
        <v>1</v>
      </c>
      <c r="I48" s="21">
        <v>1</v>
      </c>
      <c r="J48" s="21">
        <v>1</v>
      </c>
    </row>
    <row r="49" spans="1:10" s="5" customFormat="1" x14ac:dyDescent="0.25">
      <c r="A49" s="5" t="s">
        <v>49</v>
      </c>
      <c r="B49" s="21">
        <v>1.05</v>
      </c>
      <c r="C49" s="21">
        <v>1</v>
      </c>
      <c r="D49" s="21">
        <v>1</v>
      </c>
      <c r="E49" s="21">
        <v>1.05</v>
      </c>
      <c r="F49" s="21">
        <v>1.05</v>
      </c>
      <c r="G49" s="21">
        <v>1</v>
      </c>
      <c r="H49" s="21">
        <v>1</v>
      </c>
      <c r="I49" s="21">
        <v>1</v>
      </c>
      <c r="J49" s="21">
        <v>1</v>
      </c>
    </row>
    <row r="50" spans="1:10" s="5" customFormat="1" x14ac:dyDescent="0.25">
      <c r="A50" s="5" t="s">
        <v>50</v>
      </c>
      <c r="B50" s="21">
        <v>1.05</v>
      </c>
      <c r="C50" s="21">
        <v>1</v>
      </c>
      <c r="D50" s="21">
        <v>1</v>
      </c>
      <c r="E50" s="21">
        <v>1.05</v>
      </c>
      <c r="F50" s="21">
        <v>1.05</v>
      </c>
      <c r="G50" s="21">
        <v>1</v>
      </c>
      <c r="H50" s="21">
        <v>1</v>
      </c>
      <c r="I50" s="21">
        <v>1</v>
      </c>
      <c r="J50" s="21">
        <v>1</v>
      </c>
    </row>
    <row r="51" spans="1:10" x14ac:dyDescent="0.25">
      <c r="C51" s="1"/>
    </row>
    <row r="52" spans="1:10" s="5" customFormat="1" x14ac:dyDescent="0.25">
      <c r="A52" s="5" t="s">
        <v>155</v>
      </c>
      <c r="I52" s="5">
        <v>32</v>
      </c>
      <c r="J52" s="5">
        <v>32</v>
      </c>
    </row>
    <row r="53" spans="1:10" x14ac:dyDescent="0.25">
      <c r="C53" s="1"/>
    </row>
    <row r="54" spans="1:10" x14ac:dyDescent="0.25">
      <c r="A54" t="s">
        <v>102</v>
      </c>
      <c r="B54" s="4">
        <f t="shared" ref="B54:J54" si="14">B57*B58*B60*B55*B61*B59</f>
        <v>3157.569549712659</v>
      </c>
      <c r="C54" s="4">
        <f t="shared" si="14"/>
        <v>966.05225510331661</v>
      </c>
      <c r="D54" s="4">
        <f t="shared" si="14"/>
        <v>730.09551614664667</v>
      </c>
      <c r="E54" s="4">
        <f t="shared" si="14"/>
        <v>3175.7551877149253</v>
      </c>
      <c r="F54" s="4">
        <f t="shared" si="14"/>
        <v>3469.9216334605908</v>
      </c>
      <c r="G54" s="4">
        <f t="shared" si="14"/>
        <v>8.323351717040623</v>
      </c>
      <c r="H54" s="4">
        <f t="shared" si="14"/>
        <v>402.21436062659086</v>
      </c>
      <c r="I54">
        <f t="shared" si="14"/>
        <v>670.86980332681799</v>
      </c>
      <c r="J54">
        <f t="shared" si="14"/>
        <v>150.77027630829988</v>
      </c>
    </row>
    <row r="55" spans="1:10" x14ac:dyDescent="0.25">
      <c r="A55" t="s">
        <v>104</v>
      </c>
      <c r="B55" s="4">
        <f t="shared" ref="B55:J55" si="15">B38</f>
        <v>615.57204000000013</v>
      </c>
      <c r="C55" s="4">
        <f t="shared" si="15"/>
        <v>376.15380000000005</v>
      </c>
      <c r="D55" s="4">
        <f t="shared" si="15"/>
        <v>327.41720000000009</v>
      </c>
      <c r="E55" s="4">
        <f t="shared" si="15"/>
        <v>481.71040000000011</v>
      </c>
      <c r="F55" s="4">
        <f t="shared" si="15"/>
        <v>481.71040000000011</v>
      </c>
      <c r="G55" s="4">
        <f t="shared" si="15"/>
        <v>2.4871249999999998</v>
      </c>
      <c r="H55" s="4">
        <f t="shared" si="15"/>
        <v>183.10379999999998</v>
      </c>
      <c r="I55">
        <f t="shared" si="15"/>
        <v>403.87405000000001</v>
      </c>
      <c r="J55">
        <f t="shared" si="15"/>
        <v>90.766050000000007</v>
      </c>
    </row>
    <row r="56" spans="1:10" x14ac:dyDescent="0.25">
      <c r="A56" t="s">
        <v>111</v>
      </c>
      <c r="B56" s="3">
        <f t="shared" ref="B56:J56" si="16">PRODUCT(B57:B61)</f>
        <v>5.1294882556924746</v>
      </c>
      <c r="C56" s="3">
        <f t="shared" si="16"/>
        <v>2.5682373941279248</v>
      </c>
      <c r="D56" s="3">
        <f t="shared" si="16"/>
        <v>2.2298630497928835</v>
      </c>
      <c r="E56" s="3">
        <f t="shared" si="16"/>
        <v>6.5926647789105743</v>
      </c>
      <c r="F56" s="3">
        <f t="shared" si="16"/>
        <v>7.2033355174822677</v>
      </c>
      <c r="G56" s="3">
        <f t="shared" si="16"/>
        <v>3.3465755509034021</v>
      </c>
      <c r="H56" s="3">
        <f t="shared" si="16"/>
        <v>2.1966467141948494</v>
      </c>
      <c r="I56">
        <f t="shared" si="16"/>
        <v>1.6610866762219998</v>
      </c>
      <c r="J56">
        <f t="shared" si="16"/>
        <v>1.6610866762219998</v>
      </c>
    </row>
    <row r="57" spans="1:10" x14ac:dyDescent="0.25">
      <c r="A57" t="s">
        <v>26</v>
      </c>
      <c r="B57" s="4">
        <f t="shared" ref="B57:J57" si="17">B27</f>
        <v>1.05</v>
      </c>
      <c r="C57" s="4">
        <f t="shared" si="17"/>
        <v>1.05</v>
      </c>
      <c r="D57" s="4">
        <f t="shared" si="17"/>
        <v>1.05</v>
      </c>
      <c r="E57" s="4">
        <f t="shared" si="17"/>
        <v>1.05</v>
      </c>
      <c r="F57" s="4">
        <f t="shared" si="17"/>
        <v>1.05</v>
      </c>
      <c r="G57" s="4">
        <f t="shared" si="17"/>
        <v>1.1000000000000001</v>
      </c>
      <c r="H57" s="4">
        <f t="shared" si="17"/>
        <v>1.05</v>
      </c>
      <c r="I57">
        <f t="shared" si="17"/>
        <v>1.1000000000000001</v>
      </c>
      <c r="J57">
        <f t="shared" si="17"/>
        <v>1.1000000000000001</v>
      </c>
    </row>
    <row r="58" spans="1:10" x14ac:dyDescent="0.25">
      <c r="A58" t="s">
        <v>10</v>
      </c>
      <c r="B58" s="4">
        <f t="shared" ref="B58:J58" si="18">B31</f>
        <v>1.8939969925828306</v>
      </c>
      <c r="C58" s="4">
        <f t="shared" si="18"/>
        <v>1.5132061628760087</v>
      </c>
      <c r="D58" s="4">
        <f t="shared" si="18"/>
        <v>1.2417218543046358</v>
      </c>
      <c r="E58" s="4">
        <f t="shared" si="18"/>
        <v>2.0931097926529261</v>
      </c>
      <c r="F58" s="4">
        <f t="shared" si="18"/>
        <v>2.3021882041634796</v>
      </c>
      <c r="G58" s="4">
        <f t="shared" si="18"/>
        <v>0.31620553359683795</v>
      </c>
      <c r="H58" s="4">
        <f t="shared" si="18"/>
        <v>1.490066225165563</v>
      </c>
      <c r="I58">
        <f t="shared" si="18"/>
        <v>0.51270396800145435</v>
      </c>
      <c r="J58">
        <f t="shared" si="18"/>
        <v>0.51270396800145435</v>
      </c>
    </row>
    <row r="59" spans="1:10" x14ac:dyDescent="0.25">
      <c r="A59" t="s">
        <v>103</v>
      </c>
      <c r="B59" s="4">
        <f t="shared" ref="B59:J59" si="19">B34</f>
        <v>1.4544195362268579</v>
      </c>
      <c r="C59" s="4">
        <f t="shared" si="19"/>
        <v>1.0787197799411874</v>
      </c>
      <c r="D59" s="4">
        <f t="shared" si="19"/>
        <v>1.2503052875854532</v>
      </c>
      <c r="E59" s="4">
        <f t="shared" si="19"/>
        <v>1.8106089164056556</v>
      </c>
      <c r="F59" s="4">
        <f t="shared" si="19"/>
        <v>1.7623173091881328</v>
      </c>
      <c r="G59" s="4">
        <f t="shared" si="19"/>
        <v>6.1721339984836767</v>
      </c>
      <c r="H59" s="4">
        <f t="shared" si="19"/>
        <v>1.147550621098494</v>
      </c>
      <c r="I59">
        <f t="shared" si="19"/>
        <v>1.8741203047249224</v>
      </c>
      <c r="J59">
        <f t="shared" si="19"/>
        <v>1.8741203047249224</v>
      </c>
    </row>
    <row r="60" spans="1:10" x14ac:dyDescent="0.25">
      <c r="A60" t="s">
        <v>105</v>
      </c>
      <c r="B60" s="4">
        <f t="shared" ref="B60:J60" si="20">B36</f>
        <v>1.3416407864998738</v>
      </c>
      <c r="C60" s="4">
        <f t="shared" si="20"/>
        <v>1.3416407864998738</v>
      </c>
      <c r="D60" s="4">
        <f t="shared" si="20"/>
        <v>1.3416407864998738</v>
      </c>
      <c r="E60" s="4">
        <f t="shared" si="20"/>
        <v>1.2</v>
      </c>
      <c r="F60" s="4">
        <f t="shared" si="20"/>
        <v>1.2</v>
      </c>
      <c r="G60" s="4">
        <f t="shared" si="20"/>
        <v>1.6431676725154984</v>
      </c>
      <c r="H60" s="4">
        <f t="shared" si="20"/>
        <v>1.2</v>
      </c>
      <c r="I60">
        <f t="shared" si="20"/>
        <v>1.4696938456699067</v>
      </c>
      <c r="J60">
        <f t="shared" si="20"/>
        <v>1.4696938456699067</v>
      </c>
    </row>
    <row r="61" spans="1:10" x14ac:dyDescent="0.25">
      <c r="A61" t="s">
        <v>31</v>
      </c>
      <c r="B61" s="4">
        <f t="shared" ref="B61:J61" si="21">B39</f>
        <v>1.3218418680954243</v>
      </c>
      <c r="C61" s="4">
        <f t="shared" si="21"/>
        <v>1.1168706281391771</v>
      </c>
      <c r="D61" s="4">
        <f t="shared" si="21"/>
        <v>1.0195587280779856</v>
      </c>
      <c r="E61" s="4">
        <f t="shared" si="21"/>
        <v>1.380618803652913</v>
      </c>
      <c r="F61" s="4">
        <f t="shared" si="21"/>
        <v>1.4090881659339136</v>
      </c>
      <c r="G61" s="4">
        <f t="shared" si="21"/>
        <v>0.94868329805051377</v>
      </c>
      <c r="H61" s="4">
        <f t="shared" si="21"/>
        <v>1.0195587280779856</v>
      </c>
      <c r="I61">
        <f t="shared" si="21"/>
        <v>1.069322215237297</v>
      </c>
      <c r="J61">
        <f t="shared" si="21"/>
        <v>1.069322215237297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7" sqref="D7"/>
    </sheetView>
  </sheetViews>
  <sheetFormatPr defaultRowHeight="15" x14ac:dyDescent="0.25"/>
  <cols>
    <col min="1" max="1" width="14.28515625" style="30" bestFit="1" customWidth="1"/>
    <col min="2" max="2" width="10.5703125" style="2" bestFit="1" customWidth="1"/>
    <col min="3" max="4" width="9.5703125" bestFit="1" customWidth="1"/>
    <col min="5" max="5" width="11.5703125" bestFit="1" customWidth="1"/>
    <col min="6" max="7" width="10.5703125" bestFit="1" customWidth="1"/>
    <col min="8" max="8" width="9.5703125" bestFit="1" customWidth="1"/>
  </cols>
  <sheetData>
    <row r="2" spans="1:8" x14ac:dyDescent="0.25">
      <c r="A2" s="27" t="s">
        <v>124</v>
      </c>
      <c r="B2" s="21" t="s">
        <v>142</v>
      </c>
      <c r="C2" s="21" t="s">
        <v>149</v>
      </c>
      <c r="D2" s="21" t="s">
        <v>150</v>
      </c>
      <c r="E2" s="21" t="s">
        <v>161</v>
      </c>
      <c r="F2" s="21" t="s">
        <v>162</v>
      </c>
      <c r="G2" s="21" t="s">
        <v>163</v>
      </c>
      <c r="H2" s="21" t="s">
        <v>164</v>
      </c>
    </row>
    <row r="3" spans="1:8" x14ac:dyDescent="0.25">
      <c r="A3" s="28" t="s">
        <v>126</v>
      </c>
      <c r="B3" s="11">
        <f t="shared" ref="B3:H3" ca="1" si="0">PRODUCT(B5:B16)</f>
        <v>896994</v>
      </c>
      <c r="C3" s="11">
        <f t="shared" ca="1" si="0"/>
        <v>2747.7223787877074</v>
      </c>
      <c r="D3" s="11">
        <f t="shared" ca="1" si="0"/>
        <v>6374.3865533306971</v>
      </c>
      <c r="E3" s="11">
        <f t="shared" ca="1" si="0"/>
        <v>281159.13410878187</v>
      </c>
      <c r="F3" s="11">
        <f t="shared" ca="1" si="0"/>
        <v>2393302.1357578584</v>
      </c>
      <c r="G3" s="11">
        <f t="shared" ca="1" si="0"/>
        <v>1463400.8326642646</v>
      </c>
      <c r="H3" s="11" t="e">
        <f t="shared" ca="1" si="0"/>
        <v>#N/A</v>
      </c>
    </row>
    <row r="4" spans="1:8" x14ac:dyDescent="0.25">
      <c r="A4" s="28" t="s">
        <v>158</v>
      </c>
      <c r="B4" s="11">
        <f ca="1">PRODUCT(B5:B16)*B34</f>
        <v>1034500.5763767173</v>
      </c>
      <c r="C4" s="11">
        <f t="shared" ref="C4:H4" ca="1" si="1">PRODUCT(C5:C16)*C34</f>
        <v>2747.7223787877074</v>
      </c>
      <c r="D4" s="11">
        <f t="shared" ca="1" si="1"/>
        <v>6374.3865533306971</v>
      </c>
      <c r="E4" s="11">
        <f t="shared" ca="1" si="1"/>
        <v>293732.9528360262</v>
      </c>
      <c r="F4" s="11">
        <f t="shared" ca="1" si="1"/>
        <v>2814686.4597469182</v>
      </c>
      <c r="G4" s="11">
        <f t="shared" ca="1" si="1"/>
        <v>1741061.6183246253</v>
      </c>
      <c r="H4" s="11" t="e">
        <f t="shared" ca="1" si="1"/>
        <v>#N/A</v>
      </c>
    </row>
    <row r="5" spans="1:8" x14ac:dyDescent="0.25">
      <c r="A5" s="29" t="s">
        <v>125</v>
      </c>
      <c r="B5" s="8">
        <f t="shared" ref="B5:H5" ca="1" si="2">IF(B20=0,B17,B20*B21)</f>
        <v>120</v>
      </c>
      <c r="C5" s="8">
        <f t="shared" si="2"/>
        <v>3200</v>
      </c>
      <c r="D5" s="8">
        <f t="shared" si="2"/>
        <v>2400</v>
      </c>
      <c r="E5" s="8">
        <f t="shared" si="2"/>
        <v>1200</v>
      </c>
      <c r="F5" s="8">
        <f t="shared" ca="1" si="2"/>
        <v>94.5</v>
      </c>
      <c r="G5" s="8">
        <f t="shared" ca="1" si="2"/>
        <v>113</v>
      </c>
      <c r="H5" s="8" t="e">
        <f t="shared" ca="1" si="2"/>
        <v>#N/A</v>
      </c>
    </row>
    <row r="6" spans="1:8" x14ac:dyDescent="0.25">
      <c r="A6" s="29" t="s">
        <v>118</v>
      </c>
      <c r="B6" s="13">
        <f ca="1">FORECAST(B22,OFFSET(Lookup!$B$2:$B$36,MATCH(B22,Lookup!$A$2:$A$36,1)-1,0,2),OFFSET(Lookup!$A$2:$A$36,MATCH('Weapon worksheet'!B22,Lookup!$A$2:$A$36,1)-1,0,2))</f>
        <v>1318.333333333333</v>
      </c>
      <c r="C6" s="13">
        <f ca="1">FORECAST(C22,OFFSET(Lookup!$B$2:$B$36,MATCH(C22,Lookup!$A$2:$A$36,1)-1,0,2),OFFSET(Lookup!$A$2:$A$36,MATCH('Weapon worksheet'!C22,Lookup!$A$2:$A$36,1)-1,0,2))</f>
        <v>1</v>
      </c>
      <c r="D6" s="13">
        <f ca="1">FORECAST(D22,OFFSET(Lookup!$B$2:$B$36,MATCH(D22,Lookup!$A$2:$A$36,1)-1,0,2),OFFSET(Lookup!$A$2:$A$36,MATCH('Weapon worksheet'!D22,Lookup!$A$2:$A$36,1)-1,0,2))</f>
        <v>2</v>
      </c>
      <c r="E6" s="13">
        <f ca="1">FORECAST(E22,OFFSET(Lookup!$B$2:$B$36,MATCH(E22,Lookup!$A$2:$A$36,1)-1,0,2),OFFSET(Lookup!$A$2:$A$36,MATCH('Weapon worksheet'!E22,Lookup!$A$2:$A$36,1)-1,0,2))</f>
        <v>100</v>
      </c>
      <c r="F6" s="13">
        <f ca="1">FORECAST(F22,OFFSET(Lookup!$B$2:$B$36,MATCH(F22,Lookup!$A$2:$A$36,1)-1,0,2),OFFSET(Lookup!$A$2:$A$36,MATCH('Weapon worksheet'!F22,Lookup!$A$2:$A$36,1)-1,0,2))</f>
        <v>2219.5</v>
      </c>
      <c r="G6" s="13">
        <f ca="1">FORECAST(G22,OFFSET(Lookup!$B$2:$B$36,MATCH(G22,Lookup!$A$2:$A$36,1)-1,0,2),OFFSET(Lookup!$A$2:$A$36,MATCH('Weapon worksheet'!G22,Lookup!$A$2:$A$36,1)-1,0,2))</f>
        <v>1485</v>
      </c>
      <c r="H6" s="13">
        <f ca="1">FORECAST(H22,OFFSET(Lookup!$B$2:$B$36,MATCH(H22,Lookup!$A$2:$A$36,1)-1,0,2),OFFSET(Lookup!$A$2:$A$36,MATCH('Weapon worksheet'!H22,Lookup!$A$2:$A$36,1)-1,0,2))</f>
        <v>1</v>
      </c>
    </row>
    <row r="7" spans="1:8" x14ac:dyDescent="0.25">
      <c r="A7" s="29" t="s">
        <v>127</v>
      </c>
      <c r="B7" s="24">
        <f t="shared" ref="B7:H7" si="3">B23</f>
        <v>1</v>
      </c>
      <c r="C7" s="24">
        <f t="shared" si="3"/>
        <v>0.8</v>
      </c>
      <c r="D7" s="24">
        <f t="shared" si="3"/>
        <v>1</v>
      </c>
      <c r="E7" s="24">
        <f t="shared" si="3"/>
        <v>1</v>
      </c>
      <c r="F7" s="24">
        <f t="shared" si="3"/>
        <v>1</v>
      </c>
      <c r="G7" s="24">
        <f t="shared" si="3"/>
        <v>1</v>
      </c>
      <c r="H7" s="24">
        <f t="shared" si="3"/>
        <v>0</v>
      </c>
    </row>
    <row r="8" spans="1:8" x14ac:dyDescent="0.25">
      <c r="A8" s="29" t="s">
        <v>128</v>
      </c>
      <c r="B8" s="24">
        <f>IF(B19&gt;B18,B19,(B18+B19)/2)</f>
        <v>7.0000000000000009</v>
      </c>
      <c r="C8" s="24">
        <f t="shared" ref="C8:H8" si="4">IF(C19&gt;C18,C19,(C18+C19)/2)</f>
        <v>1.7036969114507114</v>
      </c>
      <c r="D8" s="24">
        <f t="shared" si="4"/>
        <v>2.1079320612866064</v>
      </c>
      <c r="E8" s="24">
        <f t="shared" si="4"/>
        <v>3.7190361654600781</v>
      </c>
      <c r="F8" s="24">
        <f t="shared" si="4"/>
        <v>14.087228258248675</v>
      </c>
      <c r="G8" s="24">
        <f t="shared" si="4"/>
        <v>10.76647116979375</v>
      </c>
      <c r="H8" s="24">
        <f t="shared" si="4"/>
        <v>0.5</v>
      </c>
    </row>
    <row r="9" spans="1:8" x14ac:dyDescent="0.25">
      <c r="A9" s="29" t="s">
        <v>129</v>
      </c>
      <c r="B9" s="13">
        <f t="shared" ref="B9:H10" si="5">B25</f>
        <v>0.9</v>
      </c>
      <c r="C9" s="13">
        <f t="shared" si="5"/>
        <v>0.7</v>
      </c>
      <c r="D9" s="13">
        <f t="shared" si="5"/>
        <v>0.7</v>
      </c>
      <c r="E9" s="13">
        <f t="shared" si="5"/>
        <v>0.7</v>
      </c>
      <c r="F9" s="13">
        <f t="shared" si="5"/>
        <v>0.9</v>
      </c>
      <c r="G9" s="13">
        <f t="shared" si="5"/>
        <v>0.9</v>
      </c>
      <c r="H9" s="13">
        <f t="shared" si="5"/>
        <v>0</v>
      </c>
    </row>
    <row r="10" spans="1:8" x14ac:dyDescent="0.25">
      <c r="A10" s="29" t="s">
        <v>130</v>
      </c>
      <c r="B10" s="13">
        <f t="shared" si="5"/>
        <v>0.9</v>
      </c>
      <c r="C10" s="13">
        <f t="shared" si="5"/>
        <v>0.9</v>
      </c>
      <c r="D10" s="13">
        <f t="shared" si="5"/>
        <v>0.9</v>
      </c>
      <c r="E10" s="13">
        <f t="shared" si="5"/>
        <v>0.9</v>
      </c>
      <c r="F10" s="13">
        <f t="shared" si="5"/>
        <v>0.9</v>
      </c>
      <c r="G10" s="13">
        <f t="shared" si="5"/>
        <v>0.9</v>
      </c>
      <c r="H10" s="13">
        <f t="shared" si="5"/>
        <v>0</v>
      </c>
    </row>
    <row r="11" spans="1:8" x14ac:dyDescent="0.25">
      <c r="A11" s="27" t="s">
        <v>131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</row>
    <row r="12" spans="1:8" x14ac:dyDescent="0.25">
      <c r="A12" s="27" t="s">
        <v>132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</row>
    <row r="13" spans="1:8" x14ac:dyDescent="0.25">
      <c r="A13" s="27" t="s">
        <v>133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</row>
    <row r="14" spans="1:8" x14ac:dyDescent="0.25">
      <c r="A14" s="27" t="s">
        <v>134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</row>
    <row r="15" spans="1:8" x14ac:dyDescent="0.25">
      <c r="A15" s="27" t="s">
        <v>135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</row>
    <row r="16" spans="1:8" x14ac:dyDescent="0.25">
      <c r="A16" s="27" t="s">
        <v>136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</row>
    <row r="17" spans="1:8" x14ac:dyDescent="0.25">
      <c r="A17" s="29" t="s">
        <v>141</v>
      </c>
      <c r="B17" s="13">
        <f ca="1">FORECAST(B22,OFFSET(Lookup!$E$2:$E$36,MATCH(B22,Lookup!$D$2:$D$36,1)-1,0,2),OFFSET(Lookup!$D$2:$D$36,MATCH('Weapon worksheet'!B22,Lookup!$D$2:$D$36,1)-1,0,2))</f>
        <v>120</v>
      </c>
      <c r="C17" s="13" t="e">
        <f ca="1">FORECAST(C22,OFFSET(Lookup!$E$2:$E$36,MATCH(C22,Lookup!$D$2:$D$36,1)-1,0,2),OFFSET(Lookup!$D$2:$D$36,MATCH('Weapon worksheet'!C22,Lookup!$D$2:$D$36,1)-1,0,2))</f>
        <v>#N/A</v>
      </c>
      <c r="D17" s="13" t="e">
        <f ca="1">FORECAST(D22,OFFSET(Lookup!$E$2:$E$36,MATCH(D22,Lookup!$D$2:$D$36,1)-1,0,2),OFFSET(Lookup!$D$2:$D$36,MATCH('Weapon worksheet'!D22,Lookup!$D$2:$D$36,1)-1,0,2))</f>
        <v>#N/A</v>
      </c>
      <c r="E17" s="13">
        <f ca="1">FORECAST(E22,OFFSET(Lookup!$E$2:$E$36,MATCH(E22,Lookup!$D$2:$D$36,1)-1,0,2),OFFSET(Lookup!$D$2:$D$36,MATCH('Weapon worksheet'!E22,Lookup!$D$2:$D$36,1)-1,0,2))</f>
        <v>260</v>
      </c>
      <c r="F17" s="13">
        <f ca="1">FORECAST(F22,OFFSET(Lookup!$E$2:$E$36,MATCH(F22,Lookup!$D$2:$D$36,1)-1,0,2),OFFSET(Lookup!$D$2:$D$36,MATCH('Weapon worksheet'!F22,Lookup!$D$2:$D$36,1)-1,0,2))</f>
        <v>94.5</v>
      </c>
      <c r="G17" s="13">
        <f ca="1">FORECAST(G22,OFFSET(Lookup!$E$2:$E$36,MATCH(G22,Lookup!$D$2:$D$36,1)-1,0,2),OFFSET(Lookup!$D$2:$D$36,MATCH('Weapon worksheet'!G22,Lookup!$D$2:$D$36,1)-1,0,2))</f>
        <v>113</v>
      </c>
      <c r="H17" s="13" t="e">
        <f ca="1">FORECAST(H22,OFFSET(Lookup!$E$2:$E$36,MATCH(H22,Lookup!$D$2:$D$36,1)-1,0,2),OFFSET(Lookup!$D$2:$D$36,MATCH('Weapon worksheet'!H22,Lookup!$D$2:$D$36,1)-1,0,2))</f>
        <v>#N/A</v>
      </c>
    </row>
    <row r="18" spans="1:8" x14ac:dyDescent="0.25">
      <c r="A18" s="29" t="s">
        <v>128</v>
      </c>
      <c r="B18" s="26">
        <f t="shared" ref="B18:H18" si="6">1+SQRT(0.001*B24)</f>
        <v>2.7320508075688772</v>
      </c>
      <c r="C18" s="26">
        <f t="shared" si="6"/>
        <v>1.7745966692414834</v>
      </c>
      <c r="D18" s="26">
        <f t="shared" si="6"/>
        <v>1.8944271909999157</v>
      </c>
      <c r="E18" s="26">
        <f t="shared" si="6"/>
        <v>2.58113883008419</v>
      </c>
      <c r="F18" s="26">
        <f t="shared" si="6"/>
        <v>2.7320508075688772</v>
      </c>
      <c r="G18" s="26">
        <f t="shared" si="6"/>
        <v>2.7320508075688772</v>
      </c>
      <c r="H18" s="26">
        <f t="shared" si="6"/>
        <v>1</v>
      </c>
    </row>
    <row r="19" spans="1:8" x14ac:dyDescent="0.25">
      <c r="A19" s="29" t="s">
        <v>152</v>
      </c>
      <c r="B19" s="13">
        <f>0.007*B27*0.1*SQRT(B22)</f>
        <v>7.0000000000000009</v>
      </c>
      <c r="C19" s="13">
        <f t="shared" ref="C19:H19" si="7">0.007*C27*0.1*SQRT(C22)</f>
        <v>1.6327971536599395</v>
      </c>
      <c r="D19" s="13">
        <f t="shared" si="7"/>
        <v>2.1079320612866064</v>
      </c>
      <c r="E19" s="13">
        <f t="shared" si="7"/>
        <v>3.7190361654600781</v>
      </c>
      <c r="F19" s="13">
        <f t="shared" si="7"/>
        <v>14.087228258248675</v>
      </c>
      <c r="G19" s="13">
        <f t="shared" si="7"/>
        <v>10.76647116979375</v>
      </c>
      <c r="H19" s="13">
        <f t="shared" si="7"/>
        <v>0</v>
      </c>
    </row>
    <row r="20" spans="1:8" x14ac:dyDescent="0.25">
      <c r="A20" s="27" t="s">
        <v>137</v>
      </c>
      <c r="B20" s="6">
        <v>0</v>
      </c>
      <c r="C20" s="6">
        <v>800</v>
      </c>
      <c r="D20" s="6">
        <v>600</v>
      </c>
      <c r="E20" s="6">
        <v>300</v>
      </c>
      <c r="F20" s="6">
        <v>0</v>
      </c>
      <c r="G20" s="6"/>
      <c r="H20" s="6"/>
    </row>
    <row r="21" spans="1:8" x14ac:dyDescent="0.25">
      <c r="A21" s="27" t="s">
        <v>139</v>
      </c>
      <c r="B21" s="6">
        <v>0</v>
      </c>
      <c r="C21" s="6">
        <v>4</v>
      </c>
      <c r="D21" s="6">
        <v>4</v>
      </c>
      <c r="E21" s="6">
        <v>4</v>
      </c>
      <c r="F21" s="6">
        <v>0</v>
      </c>
      <c r="G21" s="6"/>
      <c r="H21" s="6"/>
    </row>
    <row r="22" spans="1:8" x14ac:dyDescent="0.25">
      <c r="A22" s="27" t="s">
        <v>117</v>
      </c>
      <c r="B22" s="21">
        <v>100</v>
      </c>
      <c r="C22" s="21">
        <v>7.62</v>
      </c>
      <c r="D22" s="21">
        <v>12.7</v>
      </c>
      <c r="E22" s="21">
        <v>30</v>
      </c>
      <c r="F22" s="21">
        <v>125</v>
      </c>
      <c r="G22" s="21">
        <v>105</v>
      </c>
      <c r="H22" s="21"/>
    </row>
    <row r="23" spans="1:8" x14ac:dyDescent="0.25">
      <c r="A23" s="27" t="s">
        <v>138</v>
      </c>
      <c r="B23" s="25">
        <v>1</v>
      </c>
      <c r="C23" s="25">
        <v>0.8</v>
      </c>
      <c r="D23" s="25">
        <v>1</v>
      </c>
      <c r="E23" s="25">
        <v>1</v>
      </c>
      <c r="F23" s="25">
        <v>1</v>
      </c>
      <c r="G23" s="25">
        <v>1</v>
      </c>
      <c r="H23" s="25"/>
    </row>
    <row r="24" spans="1:8" x14ac:dyDescent="0.25">
      <c r="A24" s="27" t="s">
        <v>140</v>
      </c>
      <c r="B24" s="6">
        <v>3000</v>
      </c>
      <c r="C24" s="6">
        <v>600</v>
      </c>
      <c r="D24" s="6">
        <v>800</v>
      </c>
      <c r="E24" s="6">
        <v>2500</v>
      </c>
      <c r="F24" s="6">
        <v>3000</v>
      </c>
      <c r="G24" s="6">
        <v>3000</v>
      </c>
      <c r="H24" s="6"/>
    </row>
    <row r="25" spans="1:8" x14ac:dyDescent="0.25">
      <c r="A25" s="27" t="s">
        <v>143</v>
      </c>
      <c r="B25" s="25">
        <v>0.9</v>
      </c>
      <c r="C25" s="25">
        <v>0.7</v>
      </c>
      <c r="D25" s="25">
        <v>0.7</v>
      </c>
      <c r="E25" s="25">
        <v>0.7</v>
      </c>
      <c r="F25" s="25">
        <v>0.9</v>
      </c>
      <c r="G25" s="25">
        <v>0.9</v>
      </c>
      <c r="H25" s="25"/>
    </row>
    <row r="26" spans="1:8" x14ac:dyDescent="0.25">
      <c r="A26" s="27" t="s">
        <v>144</v>
      </c>
      <c r="B26" s="25">
        <v>0.9</v>
      </c>
      <c r="C26" s="25">
        <v>0.9</v>
      </c>
      <c r="D26" s="25">
        <v>0.9</v>
      </c>
      <c r="E26" s="25">
        <v>0.9</v>
      </c>
      <c r="F26" s="25">
        <v>0.9</v>
      </c>
      <c r="G26" s="25">
        <v>0.9</v>
      </c>
      <c r="H26" s="25"/>
    </row>
    <row r="27" spans="1:8" x14ac:dyDescent="0.25">
      <c r="A27" s="27" t="s">
        <v>151</v>
      </c>
      <c r="B27" s="32">
        <v>1000</v>
      </c>
      <c r="C27" s="32">
        <v>845</v>
      </c>
      <c r="D27" s="32">
        <v>845</v>
      </c>
      <c r="E27" s="32">
        <v>970</v>
      </c>
      <c r="F27" s="32">
        <v>1800</v>
      </c>
      <c r="G27" s="32">
        <v>1501</v>
      </c>
      <c r="H27" s="32">
        <v>300</v>
      </c>
    </row>
    <row r="28" spans="1:8" x14ac:dyDescent="0.25">
      <c r="A28" s="28" t="s">
        <v>148</v>
      </c>
      <c r="B28" s="23"/>
      <c r="C28" s="23"/>
      <c r="D28" s="23"/>
      <c r="E28" s="23"/>
      <c r="F28" s="23"/>
      <c r="G28" s="23"/>
      <c r="H28" s="23"/>
    </row>
    <row r="29" spans="1:8" x14ac:dyDescent="0.25">
      <c r="A29" s="27" t="s">
        <v>145</v>
      </c>
      <c r="B29" s="31">
        <v>43</v>
      </c>
      <c r="C29" s="31">
        <v>2000</v>
      </c>
      <c r="D29" s="31">
        <v>600</v>
      </c>
      <c r="E29" s="31">
        <v>300</v>
      </c>
      <c r="F29" s="31">
        <v>36</v>
      </c>
      <c r="G29" s="31">
        <v>55</v>
      </c>
      <c r="H29" s="31"/>
    </row>
    <row r="30" spans="1:8" x14ac:dyDescent="0.25">
      <c r="A30" s="29" t="s">
        <v>120</v>
      </c>
      <c r="B30" s="13">
        <f t="shared" ref="B30:H30" ca="1" si="8">B29/B5</f>
        <v>0.35833333333333334</v>
      </c>
      <c r="C30" s="13">
        <f t="shared" si="8"/>
        <v>0.625</v>
      </c>
      <c r="D30" s="13">
        <f t="shared" si="8"/>
        <v>0.25</v>
      </c>
      <c r="E30" s="13">
        <f t="shared" si="8"/>
        <v>0.25</v>
      </c>
      <c r="F30" s="13">
        <f t="shared" ca="1" si="8"/>
        <v>0.38095238095238093</v>
      </c>
      <c r="G30" s="13">
        <f t="shared" ca="1" si="8"/>
        <v>0.48672566371681414</v>
      </c>
      <c r="H30" s="13" t="e">
        <f t="shared" ca="1" si="8"/>
        <v>#N/A</v>
      </c>
    </row>
    <row r="31" spans="1:8" x14ac:dyDescent="0.25">
      <c r="A31" s="28" t="s">
        <v>146</v>
      </c>
      <c r="B31" s="23">
        <f ca="1">FORECAST(B5,OFFSET(Lookup!$K$2:$K$36,MATCH(B5,Lookup!$J$2:$J$36,1)-1,0,2),OFFSET(Lookup!$J$2:$J$36,MATCH('Weapon worksheet'!B5,Lookup!$J$2:$J$36,1)-1,0,2))</f>
        <v>0.91800000000000004</v>
      </c>
      <c r="C31" s="23">
        <f ca="1">FORECAST(C5,OFFSET(Lookup!$K$2:$K$36,MATCH(C5,Lookup!$J$2:$J$36,1)-1,0,2),OFFSET(Lookup!$J$2:$J$36,MATCH('Weapon worksheet'!C5,Lookup!$J$2:$J$36,1)-1,0,2))</f>
        <v>1</v>
      </c>
      <c r="D31" s="23">
        <f ca="1">FORECAST(D5,OFFSET(Lookup!$K$2:$K$36,MATCH(D5,Lookup!$J$2:$J$36,1)-1,0,2),OFFSET(Lookup!$J$2:$J$36,MATCH('Weapon worksheet'!D5,Lookup!$J$2:$J$36,1)-1,0,2))</f>
        <v>1</v>
      </c>
      <c r="E31" s="23">
        <f ca="1">FORECAST(E5,OFFSET(Lookup!$K$2:$K$36,MATCH(E5,Lookup!$J$2:$J$36,1)-1,0,2),OFFSET(Lookup!$J$2:$J$36,MATCH('Weapon worksheet'!E5,Lookup!$J$2:$J$36,1)-1,0,2))</f>
        <v>1</v>
      </c>
      <c r="F31" s="23">
        <f ca="1">FORECAST(F5,OFFSET(Lookup!$K$2:$K$36,MATCH(F5,Lookup!$J$2:$J$36,1)-1,0,2),OFFSET(Lookup!$J$2:$J$36,MATCH('Weapon worksheet'!F5,Lookup!$J$2:$J$36,1)-1,0,2))</f>
        <v>0.88533333333333331</v>
      </c>
      <c r="G31" s="23">
        <f ca="1">FORECAST(G5,OFFSET(Lookup!$K$2:$K$36,MATCH(G5,Lookup!$J$2:$J$36,1)-1,0,2),OFFSET(Lookup!$J$2:$J$36,MATCH('Weapon worksheet'!G5,Lookup!$J$2:$J$36,1)-1,0,2))</f>
        <v>0.91169999999999995</v>
      </c>
      <c r="H31" s="23" t="e">
        <f ca="1">FORECAST(H5,OFFSET(Lookup!$K$2:$K$36,MATCH(H5,Lookup!$J$2:$J$36,1)-1,0,2),OFFSET(Lookup!$J$2:$J$36,MATCH('Weapon worksheet'!H5,Lookup!$J$2:$J$36,1)-1,0,2))</f>
        <v>#N/A</v>
      </c>
    </row>
    <row r="32" spans="1:8" x14ac:dyDescent="0.25">
      <c r="A32" s="28" t="s">
        <v>147</v>
      </c>
      <c r="B32" s="23">
        <f ca="1">FORECAST(B30,OFFSET(Lookup!$H$2:$H$36,MATCH(B30,Lookup!$G$2:$G$36,1)-1,0,2),OFFSET(Lookup!$G$2:$G$36,MATCH('Weapon worksheet'!B30,Lookup!$G$2:$G$36,1)-1,0,2))</f>
        <v>0.80833333333333335</v>
      </c>
      <c r="C32" s="23">
        <f ca="1">FORECAST(C30,OFFSET(Lookup!$H$2:$H$36,MATCH(C30,Lookup!$G$2:$G$36,1)-1,0,2),OFFSET(Lookup!$G$2:$G$36,MATCH('Weapon worksheet'!C30,Lookup!$G$2:$G$36,1)-1,0,2))</f>
        <v>0.93124999999999991</v>
      </c>
      <c r="D32" s="23">
        <f ca="1">FORECAST(D30,OFFSET(Lookup!$H$2:$H$36,MATCH(D30,Lookup!$G$2:$G$36,1)-1,0,2),OFFSET(Lookup!$G$2:$G$36,MATCH('Weapon worksheet'!D30,Lookup!$G$2:$G$36,1)-1,0,2))</f>
        <v>0.625</v>
      </c>
      <c r="E32" s="23">
        <f ca="1">FORECAST(E30,OFFSET(Lookup!$H$2:$H$36,MATCH(E30,Lookup!$G$2:$G$36,1)-1,0,2),OFFSET(Lookup!$G$2:$G$36,MATCH('Weapon worksheet'!E30,Lookup!$G$2:$G$36,1)-1,0,2))</f>
        <v>0.625</v>
      </c>
      <c r="F32" s="23">
        <f ca="1">FORECAST(F30,OFFSET(Lookup!$H$2:$H$36,MATCH(F30,Lookup!$G$2:$G$36,1)-1,0,2),OFFSET(Lookup!$G$2:$G$36,MATCH('Weapon worksheet'!F30,Lookup!$G$2:$G$36,1)-1,0,2))</f>
        <v>0.830952380952381</v>
      </c>
      <c r="G32" s="23">
        <f ca="1">FORECAST(G30,OFFSET(Lookup!$H$2:$H$36,MATCH(G30,Lookup!$G$2:$G$36,1)-1,0,2),OFFSET(Lookup!$G$2:$G$36,MATCH('Weapon worksheet'!G30,Lookup!$G$2:$G$36,1)-1,0,2))</f>
        <v>0.89336283185840704</v>
      </c>
      <c r="H32" s="23" t="e">
        <f ca="1">FORECAST(H30,OFFSET(Lookup!$H$2:$H$36,MATCH(H30,Lookup!$G$2:$G$36,1)-1,0,2),OFFSET(Lookup!$G$2:$G$36,MATCH('Weapon worksheet'!H30,Lookup!$G$2:$G$36,1)-1,0,2))</f>
        <v>#N/A</v>
      </c>
    </row>
    <row r="34" spans="1:8" x14ac:dyDescent="0.25">
      <c r="A34" s="29" t="s">
        <v>160</v>
      </c>
      <c r="B34" s="13">
        <f>1+0.01*SQRT(ABS(B35))</f>
        <v>1.1532970971675589</v>
      </c>
      <c r="C34" s="13">
        <f t="shared" ref="C34:H34" si="9">1+0.01*SQRT(ABS(C35))</f>
        <v>1</v>
      </c>
      <c r="D34" s="13">
        <f t="shared" si="9"/>
        <v>1</v>
      </c>
      <c r="E34" s="13">
        <f t="shared" si="9"/>
        <v>1.0447213595499958</v>
      </c>
      <c r="F34" s="13">
        <f t="shared" si="9"/>
        <v>1.1760681686165901</v>
      </c>
      <c r="G34" s="13">
        <f t="shared" si="9"/>
        <v>1.1897366596101029</v>
      </c>
      <c r="H34" s="13">
        <f t="shared" si="9"/>
        <v>1</v>
      </c>
    </row>
    <row r="35" spans="1:8" x14ac:dyDescent="0.25">
      <c r="A35" s="27" t="s">
        <v>159</v>
      </c>
      <c r="B35" s="21">
        <v>235</v>
      </c>
      <c r="C35" s="5"/>
      <c r="D35" s="5"/>
      <c r="E35" s="5">
        <v>20</v>
      </c>
      <c r="F35" s="5">
        <v>310</v>
      </c>
      <c r="G35" s="5">
        <v>360</v>
      </c>
      <c r="H3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B2" t="s">
        <v>37</v>
      </c>
    </row>
    <row r="4" spans="1:2" x14ac:dyDescent="0.25">
      <c r="A4" t="s">
        <v>38</v>
      </c>
      <c r="B4" t="s">
        <v>153</v>
      </c>
    </row>
    <row r="5" spans="1:2" x14ac:dyDescent="0.25">
      <c r="B5" t="s">
        <v>114</v>
      </c>
    </row>
    <row r="6" spans="1:2" x14ac:dyDescent="0.25">
      <c r="B6" t="s">
        <v>112</v>
      </c>
    </row>
    <row r="7" spans="1:2" x14ac:dyDescent="0.25">
      <c r="B7" t="s">
        <v>113</v>
      </c>
    </row>
    <row r="8" spans="1:2" x14ac:dyDescent="0.25">
      <c r="B8" t="s">
        <v>39</v>
      </c>
    </row>
    <row r="10" spans="1:2" x14ac:dyDescent="0.25">
      <c r="A10" t="s">
        <v>40</v>
      </c>
      <c r="B10" t="s">
        <v>41</v>
      </c>
    </row>
    <row r="11" spans="1:2" x14ac:dyDescent="0.25">
      <c r="B11" t="s">
        <v>42</v>
      </c>
    </row>
    <row r="12" spans="1:2" x14ac:dyDescent="0.25">
      <c r="B12" t="s">
        <v>43</v>
      </c>
    </row>
    <row r="14" spans="1:2" x14ac:dyDescent="0.25">
      <c r="A14" t="s">
        <v>51</v>
      </c>
      <c r="B14" t="s">
        <v>52</v>
      </c>
    </row>
    <row r="15" spans="1:2" x14ac:dyDescent="0.25">
      <c r="B15" t="s">
        <v>53</v>
      </c>
    </row>
    <row r="17" spans="1:2" x14ac:dyDescent="0.25">
      <c r="A17" t="s">
        <v>54</v>
      </c>
      <c r="B17" t="s">
        <v>55</v>
      </c>
    </row>
    <row r="18" spans="1:2" x14ac:dyDescent="0.25">
      <c r="B18" t="s">
        <v>56</v>
      </c>
    </row>
    <row r="20" spans="1:2" x14ac:dyDescent="0.25">
      <c r="A20" t="s">
        <v>57</v>
      </c>
      <c r="B20" t="s">
        <v>58</v>
      </c>
    </row>
    <row r="21" spans="1:2" x14ac:dyDescent="0.25">
      <c r="B21" t="s">
        <v>59</v>
      </c>
    </row>
    <row r="22" spans="1:2" x14ac:dyDescent="0.25">
      <c r="B22" t="s">
        <v>60</v>
      </c>
    </row>
    <row r="23" spans="1:2" x14ac:dyDescent="0.25">
      <c r="B23" t="s">
        <v>61</v>
      </c>
    </row>
    <row r="24" spans="1:2" x14ac:dyDescent="0.25">
      <c r="B24" t="s">
        <v>62</v>
      </c>
    </row>
    <row r="25" spans="1:2" x14ac:dyDescent="0.25">
      <c r="B25" t="s">
        <v>63</v>
      </c>
    </row>
    <row r="29" spans="1:2" x14ac:dyDescent="0.25">
      <c r="A29" t="s">
        <v>19</v>
      </c>
      <c r="B29" t="s">
        <v>107</v>
      </c>
    </row>
    <row r="30" spans="1:2" x14ac:dyDescent="0.25">
      <c r="B30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5" sqref="I5"/>
    </sheetView>
  </sheetViews>
  <sheetFormatPr defaultRowHeight="15" x14ac:dyDescent="0.25"/>
  <cols>
    <col min="4" max="4" width="18" customWidth="1"/>
    <col min="5" max="5" width="12.28515625" customWidth="1"/>
    <col min="6" max="6" width="14.5703125" customWidth="1"/>
    <col min="7" max="7" width="16.5703125" customWidth="1"/>
    <col min="8" max="8" width="17.28515625" customWidth="1"/>
    <col min="9" max="9" width="38" customWidth="1"/>
  </cols>
  <sheetData>
    <row r="1" spans="1:9" x14ac:dyDescent="0.25">
      <c r="A1" t="s">
        <v>66</v>
      </c>
      <c r="B1" t="s">
        <v>67</v>
      </c>
      <c r="C1" t="s">
        <v>76</v>
      </c>
      <c r="D1" t="s">
        <v>68</v>
      </c>
      <c r="E1" t="s">
        <v>62</v>
      </c>
      <c r="F1" t="s">
        <v>69</v>
      </c>
      <c r="G1" t="s">
        <v>70</v>
      </c>
      <c r="H1" t="s">
        <v>63</v>
      </c>
      <c r="I1" t="s">
        <v>71</v>
      </c>
    </row>
    <row r="2" spans="1:9" x14ac:dyDescent="0.25">
      <c r="A2" t="s">
        <v>65</v>
      </c>
      <c r="B2" s="1" t="s">
        <v>73</v>
      </c>
      <c r="C2" s="1" t="s">
        <v>77</v>
      </c>
      <c r="D2" s="1" t="s">
        <v>73</v>
      </c>
      <c r="E2" s="1" t="s">
        <v>73</v>
      </c>
      <c r="F2" s="1" t="s">
        <v>73</v>
      </c>
      <c r="G2" s="1" t="s">
        <v>73</v>
      </c>
      <c r="H2" s="1" t="s">
        <v>73</v>
      </c>
      <c r="I2" t="s">
        <v>72</v>
      </c>
    </row>
    <row r="3" spans="1:9" x14ac:dyDescent="0.25">
      <c r="A3" t="s">
        <v>74</v>
      </c>
      <c r="B3" s="1" t="s">
        <v>73</v>
      </c>
      <c r="C3" s="1" t="s">
        <v>78</v>
      </c>
      <c r="D3" s="1" t="s">
        <v>73</v>
      </c>
      <c r="E3" s="1" t="s">
        <v>73</v>
      </c>
      <c r="F3" s="1" t="s">
        <v>73</v>
      </c>
      <c r="G3" s="1" t="s">
        <v>73</v>
      </c>
      <c r="H3" s="1" t="s">
        <v>73</v>
      </c>
      <c r="I3" t="s">
        <v>75</v>
      </c>
    </row>
    <row r="4" spans="1:9" x14ac:dyDescent="0.25">
      <c r="A4" t="s">
        <v>79</v>
      </c>
      <c r="B4" s="1" t="s">
        <v>73</v>
      </c>
      <c r="C4" s="1" t="s">
        <v>77</v>
      </c>
      <c r="D4" s="1" t="s">
        <v>73</v>
      </c>
      <c r="E4" s="1" t="s">
        <v>80</v>
      </c>
      <c r="F4" s="1" t="s">
        <v>80</v>
      </c>
      <c r="G4" s="1" t="s">
        <v>80</v>
      </c>
      <c r="H4" s="1" t="s">
        <v>80</v>
      </c>
      <c r="I4" t="s">
        <v>81</v>
      </c>
    </row>
    <row r="5" spans="1:9" x14ac:dyDescent="0.25">
      <c r="A5" t="s">
        <v>82</v>
      </c>
      <c r="B5" s="1" t="s">
        <v>80</v>
      </c>
      <c r="C5" s="1" t="s">
        <v>83</v>
      </c>
      <c r="D5" s="1" t="s">
        <v>80</v>
      </c>
      <c r="E5" s="1" t="s">
        <v>80</v>
      </c>
      <c r="F5" s="1" t="s">
        <v>80</v>
      </c>
      <c r="G5" s="1" t="s">
        <v>80</v>
      </c>
      <c r="H5" s="1" t="s">
        <v>80</v>
      </c>
      <c r="I5" t="s">
        <v>90</v>
      </c>
    </row>
    <row r="6" spans="1:9" x14ac:dyDescent="0.25">
      <c r="A6" t="s">
        <v>84</v>
      </c>
      <c r="B6" s="1" t="s">
        <v>73</v>
      </c>
      <c r="C6" s="1" t="s">
        <v>77</v>
      </c>
      <c r="D6" s="1" t="s">
        <v>73</v>
      </c>
      <c r="E6" s="1" t="s">
        <v>80</v>
      </c>
      <c r="F6" s="1" t="s">
        <v>80</v>
      </c>
      <c r="G6" s="1" t="s">
        <v>80</v>
      </c>
      <c r="H6" s="1" t="s">
        <v>73</v>
      </c>
      <c r="I6" t="s">
        <v>85</v>
      </c>
    </row>
    <row r="7" spans="1:9" x14ac:dyDescent="0.25">
      <c r="A7" t="s">
        <v>86</v>
      </c>
      <c r="B7" s="1" t="s">
        <v>73</v>
      </c>
      <c r="C7" s="1" t="s">
        <v>77</v>
      </c>
      <c r="D7" s="1" t="s">
        <v>73</v>
      </c>
      <c r="E7" s="1" t="s">
        <v>80</v>
      </c>
      <c r="F7" s="1" t="s">
        <v>73</v>
      </c>
      <c r="G7" s="1" t="s">
        <v>80</v>
      </c>
      <c r="H7" s="1" t="s">
        <v>73</v>
      </c>
      <c r="I7" t="s">
        <v>87</v>
      </c>
    </row>
    <row r="8" spans="1:9" x14ac:dyDescent="0.25">
      <c r="A8" t="s">
        <v>88</v>
      </c>
      <c r="B8" s="1" t="s">
        <v>73</v>
      </c>
      <c r="C8" s="1" t="s">
        <v>77</v>
      </c>
      <c r="D8" s="1" t="s">
        <v>73</v>
      </c>
      <c r="E8" s="1" t="s">
        <v>80</v>
      </c>
      <c r="F8" s="1" t="s">
        <v>80</v>
      </c>
      <c r="G8" s="1" t="s">
        <v>80</v>
      </c>
      <c r="H8" s="1" t="s">
        <v>73</v>
      </c>
      <c r="I8" t="s">
        <v>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117</v>
      </c>
      <c r="B1" t="s">
        <v>118</v>
      </c>
      <c r="D1" t="s">
        <v>117</v>
      </c>
      <c r="E1" t="s">
        <v>119</v>
      </c>
      <c r="G1" t="s">
        <v>120</v>
      </c>
      <c r="H1" t="s">
        <v>121</v>
      </c>
      <c r="J1" t="s">
        <v>122</v>
      </c>
      <c r="K1" t="s">
        <v>123</v>
      </c>
    </row>
    <row r="2" spans="1:11" x14ac:dyDescent="0.25">
      <c r="A2">
        <v>0</v>
      </c>
      <c r="B2">
        <v>1</v>
      </c>
      <c r="D2">
        <v>20</v>
      </c>
      <c r="E2">
        <v>295</v>
      </c>
      <c r="G2">
        <v>0</v>
      </c>
      <c r="H2">
        <v>0</v>
      </c>
      <c r="J2">
        <v>0</v>
      </c>
      <c r="K2">
        <v>0.4</v>
      </c>
    </row>
    <row r="3" spans="1:11" x14ac:dyDescent="0.25">
      <c r="A3">
        <v>5</v>
      </c>
      <c r="B3">
        <v>1</v>
      </c>
      <c r="D3">
        <v>30</v>
      </c>
      <c r="E3">
        <v>260</v>
      </c>
      <c r="G3">
        <v>0.1</v>
      </c>
      <c r="H3">
        <v>0.2</v>
      </c>
      <c r="J3">
        <v>20</v>
      </c>
      <c r="K3">
        <v>0.6</v>
      </c>
    </row>
    <row r="4" spans="1:11" x14ac:dyDescent="0.25">
      <c r="A4">
        <v>10</v>
      </c>
      <c r="B4">
        <v>1</v>
      </c>
      <c r="D4">
        <v>40</v>
      </c>
      <c r="E4">
        <v>225</v>
      </c>
      <c r="G4">
        <v>0.2</v>
      </c>
      <c r="H4">
        <v>0.5</v>
      </c>
      <c r="J4">
        <v>40</v>
      </c>
      <c r="K4">
        <v>0.74</v>
      </c>
    </row>
    <row r="5" spans="1:11" x14ac:dyDescent="0.25">
      <c r="A5">
        <v>12.7</v>
      </c>
      <c r="B5">
        <v>2</v>
      </c>
      <c r="D5">
        <v>60</v>
      </c>
      <c r="E5">
        <v>175</v>
      </c>
      <c r="G5">
        <v>0.3</v>
      </c>
      <c r="H5">
        <v>0.75</v>
      </c>
      <c r="J5">
        <v>100</v>
      </c>
      <c r="K5">
        <v>0.9</v>
      </c>
    </row>
    <row r="6" spans="1:11" x14ac:dyDescent="0.25">
      <c r="A6">
        <v>14.7</v>
      </c>
      <c r="B6">
        <v>2</v>
      </c>
      <c r="D6">
        <v>75</v>
      </c>
      <c r="E6">
        <v>152</v>
      </c>
      <c r="G6">
        <v>0.4</v>
      </c>
      <c r="H6">
        <v>0.85</v>
      </c>
      <c r="J6">
        <v>200</v>
      </c>
      <c r="K6">
        <v>0.99</v>
      </c>
    </row>
    <row r="7" spans="1:11" x14ac:dyDescent="0.25">
      <c r="A7">
        <v>20</v>
      </c>
      <c r="B7">
        <v>40</v>
      </c>
      <c r="D7">
        <v>81</v>
      </c>
      <c r="E7">
        <v>144</v>
      </c>
      <c r="G7">
        <v>0.5</v>
      </c>
      <c r="H7">
        <v>0.9</v>
      </c>
      <c r="J7">
        <v>1000</v>
      </c>
      <c r="K7">
        <v>1</v>
      </c>
    </row>
    <row r="8" spans="1:11" x14ac:dyDescent="0.25">
      <c r="A8">
        <v>30</v>
      </c>
      <c r="B8">
        <v>100</v>
      </c>
      <c r="D8">
        <v>90</v>
      </c>
      <c r="E8">
        <v>134</v>
      </c>
      <c r="G8">
        <v>0.7</v>
      </c>
      <c r="H8">
        <v>0.95</v>
      </c>
      <c r="J8">
        <v>3000</v>
      </c>
      <c r="K8">
        <v>1</v>
      </c>
    </row>
    <row r="9" spans="1:11" x14ac:dyDescent="0.25">
      <c r="A9">
        <v>40</v>
      </c>
      <c r="B9">
        <v>170</v>
      </c>
      <c r="D9">
        <v>105</v>
      </c>
      <c r="E9">
        <v>113</v>
      </c>
      <c r="G9">
        <v>1</v>
      </c>
      <c r="H9">
        <v>1</v>
      </c>
      <c r="J9">
        <v>5000</v>
      </c>
      <c r="K9">
        <v>1</v>
      </c>
    </row>
    <row r="10" spans="1:11" x14ac:dyDescent="0.25">
      <c r="A10">
        <v>60</v>
      </c>
      <c r="B10">
        <v>344</v>
      </c>
      <c r="D10">
        <v>120</v>
      </c>
      <c r="E10">
        <v>99</v>
      </c>
      <c r="G10">
        <v>100</v>
      </c>
      <c r="H10">
        <v>1</v>
      </c>
      <c r="J10">
        <v>100000</v>
      </c>
      <c r="K10">
        <v>1</v>
      </c>
    </row>
    <row r="11" spans="1:11" x14ac:dyDescent="0.25">
      <c r="A11">
        <v>75</v>
      </c>
      <c r="B11">
        <v>625</v>
      </c>
      <c r="D11">
        <v>130</v>
      </c>
      <c r="E11">
        <v>90</v>
      </c>
    </row>
    <row r="12" spans="1:11" x14ac:dyDescent="0.25">
      <c r="A12">
        <v>81</v>
      </c>
      <c r="B12">
        <v>752</v>
      </c>
      <c r="D12">
        <v>155</v>
      </c>
      <c r="E12">
        <v>60</v>
      </c>
    </row>
    <row r="13" spans="1:11" x14ac:dyDescent="0.25">
      <c r="A13">
        <v>90</v>
      </c>
      <c r="B13">
        <v>985</v>
      </c>
      <c r="D13">
        <v>175</v>
      </c>
      <c r="E13">
        <v>47</v>
      </c>
    </row>
    <row r="14" spans="1:11" x14ac:dyDescent="0.25">
      <c r="A14">
        <v>105</v>
      </c>
      <c r="B14" s="22">
        <v>1485</v>
      </c>
      <c r="D14">
        <v>203</v>
      </c>
      <c r="E14">
        <v>30</v>
      </c>
    </row>
    <row r="15" spans="1:11" x14ac:dyDescent="0.25">
      <c r="A15">
        <v>120</v>
      </c>
      <c r="B15" s="22">
        <v>2002</v>
      </c>
      <c r="D15">
        <v>225</v>
      </c>
      <c r="E15">
        <v>25</v>
      </c>
    </row>
    <row r="16" spans="1:11" x14ac:dyDescent="0.25">
      <c r="A16">
        <v>130</v>
      </c>
      <c r="B16" s="22">
        <v>2437</v>
      </c>
      <c r="D16">
        <v>250</v>
      </c>
      <c r="E16">
        <v>22</v>
      </c>
    </row>
    <row r="17" spans="1:5" x14ac:dyDescent="0.25">
      <c r="A17">
        <v>155</v>
      </c>
      <c r="B17" s="22">
        <v>3594</v>
      </c>
      <c r="D17">
        <v>275</v>
      </c>
      <c r="E17">
        <v>18</v>
      </c>
    </row>
    <row r="18" spans="1:5" x14ac:dyDescent="0.25">
      <c r="A18">
        <v>175</v>
      </c>
      <c r="B18" s="22">
        <v>4375</v>
      </c>
      <c r="D18">
        <v>300</v>
      </c>
      <c r="E18">
        <v>16</v>
      </c>
    </row>
    <row r="19" spans="1:5" x14ac:dyDescent="0.25">
      <c r="A19">
        <v>203</v>
      </c>
      <c r="B19" s="22">
        <v>5000</v>
      </c>
      <c r="D19">
        <v>325</v>
      </c>
      <c r="E19">
        <v>15</v>
      </c>
    </row>
    <row r="20" spans="1:5" x14ac:dyDescent="0.25">
      <c r="A20">
        <v>225</v>
      </c>
      <c r="B20" s="22">
        <v>5560</v>
      </c>
      <c r="D20">
        <v>350</v>
      </c>
      <c r="E20">
        <v>13</v>
      </c>
    </row>
    <row r="21" spans="1:5" x14ac:dyDescent="0.25">
      <c r="A21">
        <v>250</v>
      </c>
      <c r="B21" s="22">
        <v>6125</v>
      </c>
      <c r="D21">
        <v>375</v>
      </c>
      <c r="E21">
        <v>12</v>
      </c>
    </row>
    <row r="22" spans="1:5" x14ac:dyDescent="0.25">
      <c r="A22">
        <v>275</v>
      </c>
      <c r="B22" s="22">
        <v>6570</v>
      </c>
      <c r="D22">
        <v>400</v>
      </c>
      <c r="E22">
        <v>10</v>
      </c>
    </row>
    <row r="23" spans="1:5" x14ac:dyDescent="0.25">
      <c r="A23">
        <v>300</v>
      </c>
      <c r="B23" s="22">
        <v>6985</v>
      </c>
      <c r="D23">
        <v>450</v>
      </c>
      <c r="E23">
        <v>8</v>
      </c>
    </row>
    <row r="24" spans="1:5" x14ac:dyDescent="0.25">
      <c r="A24">
        <v>325</v>
      </c>
      <c r="B24" s="22">
        <v>7250</v>
      </c>
      <c r="D24">
        <v>500</v>
      </c>
      <c r="E24">
        <v>7</v>
      </c>
    </row>
    <row r="25" spans="1:5" x14ac:dyDescent="0.25">
      <c r="A25">
        <v>350</v>
      </c>
      <c r="B25" s="22">
        <v>7500</v>
      </c>
      <c r="D25">
        <v>550</v>
      </c>
      <c r="E25">
        <v>5</v>
      </c>
    </row>
    <row r="26" spans="1:5" x14ac:dyDescent="0.25">
      <c r="A26">
        <v>375</v>
      </c>
      <c r="B26" s="22">
        <v>7810</v>
      </c>
      <c r="D26">
        <v>600</v>
      </c>
      <c r="E26">
        <v>3</v>
      </c>
    </row>
    <row r="27" spans="1:5" x14ac:dyDescent="0.25">
      <c r="A27">
        <v>400</v>
      </c>
      <c r="B27" s="22">
        <v>8000</v>
      </c>
      <c r="D27">
        <v>650</v>
      </c>
      <c r="E27">
        <v>2</v>
      </c>
    </row>
    <row r="28" spans="1:5" x14ac:dyDescent="0.25">
      <c r="A28">
        <v>450</v>
      </c>
      <c r="B28" s="22">
        <v>8560</v>
      </c>
      <c r="D28">
        <v>700</v>
      </c>
      <c r="E28">
        <v>2</v>
      </c>
    </row>
    <row r="29" spans="1:5" x14ac:dyDescent="0.25">
      <c r="A29">
        <v>500</v>
      </c>
      <c r="B29" s="22">
        <v>9000</v>
      </c>
      <c r="D29">
        <v>800</v>
      </c>
      <c r="E29">
        <v>2</v>
      </c>
    </row>
    <row r="30" spans="1:5" x14ac:dyDescent="0.25">
      <c r="A30">
        <v>550</v>
      </c>
      <c r="B30" s="22">
        <v>9400</v>
      </c>
      <c r="D30">
        <v>900</v>
      </c>
      <c r="E30">
        <v>2</v>
      </c>
    </row>
    <row r="31" spans="1:5" x14ac:dyDescent="0.25">
      <c r="A31">
        <v>600</v>
      </c>
      <c r="B31" s="22">
        <v>9680</v>
      </c>
      <c r="D31">
        <v>1000</v>
      </c>
      <c r="E31">
        <v>2</v>
      </c>
    </row>
    <row r="32" spans="1:5" x14ac:dyDescent="0.25">
      <c r="A32">
        <v>650</v>
      </c>
      <c r="B32" s="22">
        <v>9938</v>
      </c>
    </row>
    <row r="33" spans="1:2" x14ac:dyDescent="0.25">
      <c r="A33">
        <v>700</v>
      </c>
      <c r="B33" s="22">
        <v>10187</v>
      </c>
    </row>
    <row r="34" spans="1:2" x14ac:dyDescent="0.25">
      <c r="A34">
        <v>800</v>
      </c>
      <c r="B34" s="22">
        <v>10500</v>
      </c>
    </row>
    <row r="35" spans="1:2" x14ac:dyDescent="0.25">
      <c r="A35">
        <v>900</v>
      </c>
      <c r="B35" s="22">
        <v>10750</v>
      </c>
    </row>
    <row r="36" spans="1:2" x14ac:dyDescent="0.25">
      <c r="A36">
        <v>1000</v>
      </c>
      <c r="B36" s="22">
        <v>10900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Weapon worksheet</vt:lpstr>
      <vt:lpstr>Factors</vt:lpstr>
      <vt:lpstr>Fire control info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2018-03-18T02:20:31Z</dcterms:created>
  <dcterms:modified xsi:type="dcterms:W3CDTF">2018-05-11T05:27:19Z</dcterms:modified>
</cp:coreProperties>
</file>