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L-BOARDROOM\public drive 2019\HERRING &amp; MACK DEPT\HERRING &amp; MACK DEPT\ST ANDREW\WEIGHT TALLY 2023\"/>
    </mc:Choice>
  </mc:AlternateContent>
  <xr:revisionPtr revIDLastSave="0" documentId="8_{5F3028A6-86A3-4E96-94B4-1BBE4315B7D1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SHEET 1" sheetId="2" state="hidden" r:id="rId1"/>
    <sheet name="mack mar 30" sheetId="8" state="hidden" r:id="rId2"/>
    <sheet name="CONNORS" sheetId="5" state="hidden" r:id="rId3"/>
    <sheet name="ESTIMATE" sheetId="10" state="hidden" r:id="rId4"/>
    <sheet name="BLANK" sheetId="7" state="hidden" r:id="rId5"/>
    <sheet name="MACK" sheetId="6" state="hidden" r:id="rId6"/>
    <sheet name="COUNT COMPARISON" sheetId="9" state="hidden" r:id="rId7"/>
    <sheet name="HERRING" sheetId="4" state="hidden" r:id="rId8"/>
    <sheet name="PRODUCTION REPORT" sheetId="1" state="hidden" r:id="rId9"/>
    <sheet name="SEALIFE II" sheetId="17" r:id="rId10"/>
    <sheet name="LADY JANICE" sheetId="18" r:id="rId11"/>
  </sheets>
  <externalReferences>
    <externalReference r:id="rId12"/>
  </externalReferences>
  <definedNames>
    <definedName name="_xlnm.Print_Area" localSheetId="2">CONNORS!$A$1:$N$36</definedName>
    <definedName name="_xlnm.Print_Area" localSheetId="7">HERRING!$A$1:$M$68</definedName>
    <definedName name="_xlnm.Print_Area" localSheetId="5">MACK!$A$1:$M$89</definedName>
    <definedName name="_xlnm.Print_Area" localSheetId="9">'SEALIFE II'!$A$1:$S$110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5" i="18" l="1"/>
  <c r="R103" i="18"/>
  <c r="R102" i="18" s="1"/>
  <c r="R101" i="18"/>
  <c r="R100" i="18" s="1"/>
  <c r="R98" i="18"/>
  <c r="R97" i="18" s="1"/>
  <c r="R96" i="18"/>
  <c r="R91" i="18"/>
  <c r="T91" i="18" s="1"/>
  <c r="R85" i="18"/>
  <c r="T85" i="18" s="1"/>
  <c r="R81" i="18"/>
  <c r="T81" i="18" s="1"/>
  <c r="R74" i="18"/>
  <c r="T74" i="18" s="1"/>
  <c r="R69" i="18"/>
  <c r="T69" i="18" s="1"/>
  <c r="R60" i="18"/>
  <c r="T60" i="18" s="1"/>
  <c r="R58" i="18"/>
  <c r="R56" i="18"/>
  <c r="T56" i="18" s="1"/>
  <c r="R46" i="18"/>
  <c r="R45" i="18"/>
  <c r="T45" i="18" s="1"/>
  <c r="R40" i="18"/>
  <c r="R39" i="18"/>
  <c r="T39" i="18" s="1"/>
  <c r="T30" i="18"/>
  <c r="R30" i="18"/>
  <c r="R27" i="18"/>
  <c r="T26" i="18"/>
  <c r="R26" i="18"/>
  <c r="R22" i="18"/>
  <c r="T21" i="18"/>
  <c r="R21" i="18"/>
  <c r="R17" i="18"/>
  <c r="T16" i="18"/>
  <c r="R16" i="18"/>
  <c r="R15" i="18"/>
  <c r="B10" i="18"/>
  <c r="B10" i="17"/>
  <c r="R96" i="17"/>
  <c r="R91" i="17"/>
  <c r="R87" i="18" l="1"/>
  <c r="R83" i="18"/>
  <c r="R76" i="18"/>
  <c r="R72" i="18"/>
  <c r="R62" i="18"/>
  <c r="R106" i="18"/>
  <c r="S96" i="18" s="1"/>
  <c r="T96" i="18"/>
  <c r="T98" i="18"/>
  <c r="T101" i="18"/>
  <c r="T103" i="18"/>
  <c r="R69" i="17"/>
  <c r="R62" i="17" s="1"/>
  <c r="S30" i="18" l="1"/>
  <c r="S16" i="18"/>
  <c r="S69" i="18"/>
  <c r="S103" i="18"/>
  <c r="S60" i="18"/>
  <c r="S91" i="18"/>
  <c r="S39" i="18"/>
  <c r="S85" i="18"/>
  <c r="S26" i="18"/>
  <c r="S101" i="18"/>
  <c r="S81" i="18"/>
  <c r="S56" i="18"/>
  <c r="H107" i="18"/>
  <c r="S21" i="18"/>
  <c r="S98" i="18"/>
  <c r="H109" i="18"/>
  <c r="S74" i="18"/>
  <c r="S45" i="18"/>
  <c r="R56" i="17"/>
  <c r="S106" i="18" l="1"/>
  <c r="R46" i="17"/>
  <c r="R30" i="17"/>
  <c r="R39" i="17"/>
  <c r="R45" i="17"/>
  <c r="R81" i="17" l="1"/>
  <c r="R76" i="17" s="1"/>
  <c r="R85" i="17" l="1"/>
  <c r="R74" i="17"/>
  <c r="R60" i="17"/>
  <c r="R27" i="17"/>
  <c r="R40" i="17" l="1"/>
  <c r="R26" i="17" l="1"/>
  <c r="R22" i="17" s="1"/>
  <c r="H105" i="17" l="1"/>
  <c r="R103" i="17"/>
  <c r="R101" i="17"/>
  <c r="R100" i="17" s="1"/>
  <c r="R98" i="17"/>
  <c r="R97" i="17" s="1"/>
  <c r="R87" i="17"/>
  <c r="R83" i="17"/>
  <c r="R72" i="17"/>
  <c r="R58" i="17"/>
  <c r="T39" i="17"/>
  <c r="T26" i="17"/>
  <c r="R21" i="17"/>
  <c r="R16" i="17"/>
  <c r="R15" i="17" l="1"/>
  <c r="R17" i="17"/>
  <c r="R106" i="17"/>
  <c r="S91" i="17" s="1"/>
  <c r="R102" i="17"/>
  <c r="T16" i="17"/>
  <c r="T91" i="17"/>
  <c r="T69" i="17"/>
  <c r="T81" i="17"/>
  <c r="T74" i="17"/>
  <c r="T85" i="17"/>
  <c r="T60" i="17"/>
  <c r="T96" i="17"/>
  <c r="T98" i="17"/>
  <c r="T101" i="17"/>
  <c r="T56" i="17"/>
  <c r="T30" i="17"/>
  <c r="T21" i="17"/>
  <c r="T45" i="17"/>
  <c r="T103" i="17"/>
  <c r="S60" i="17" l="1"/>
  <c r="S56" i="17"/>
  <c r="S85" i="17"/>
  <c r="S69" i="17"/>
  <c r="S74" i="17"/>
  <c r="S81" i="17"/>
  <c r="H109" i="17"/>
  <c r="H107" i="17"/>
  <c r="S26" i="17"/>
  <c r="S30" i="17"/>
  <c r="S101" i="17"/>
  <c r="S98" i="17"/>
  <c r="S16" i="17"/>
  <c r="S45" i="17"/>
  <c r="S96" i="17"/>
  <c r="S21" i="17"/>
  <c r="S39" i="17"/>
  <c r="S103" i="17"/>
  <c r="S106" i="17" l="1"/>
  <c r="D21" i="9"/>
  <c r="F31" i="9"/>
  <c r="K31" i="9" s="1"/>
  <c r="F22" i="9"/>
  <c r="F21" i="9"/>
  <c r="F20" i="9"/>
  <c r="F18" i="9"/>
  <c r="E17" i="9"/>
  <c r="E147" i="9" l="1"/>
  <c r="E28" i="9"/>
  <c r="F28" i="9"/>
  <c r="E148" i="9"/>
  <c r="E151" i="9"/>
  <c r="E149" i="9"/>
  <c r="C27" i="9" l="1"/>
  <c r="D27" i="9"/>
  <c r="E27" i="9"/>
  <c r="F27" i="9"/>
  <c r="L27" i="9" l="1"/>
  <c r="K27" i="9"/>
  <c r="C155" i="9" l="1"/>
  <c r="C39" i="9" s="1"/>
  <c r="D155" i="9"/>
  <c r="D39" i="9" s="1"/>
  <c r="B155" i="9" l="1"/>
  <c r="B39" i="9" s="1"/>
  <c r="I155" i="9"/>
  <c r="I39" i="9" s="1"/>
  <c r="H155" i="9"/>
  <c r="H39" i="9" s="1"/>
  <c r="G155" i="9" l="1"/>
  <c r="G39" i="9" s="1"/>
  <c r="B146" i="9" l="1"/>
  <c r="G146" i="9"/>
  <c r="H146" i="9"/>
  <c r="I146" i="9"/>
  <c r="D146" i="9"/>
  <c r="E155" i="9"/>
  <c r="E39" i="9" s="1"/>
  <c r="F155" i="9"/>
  <c r="F39" i="9" s="1"/>
  <c r="F146" i="9" s="1"/>
  <c r="E146" i="9" l="1"/>
  <c r="L39" i="9"/>
  <c r="C146" i="9"/>
  <c r="D32" i="9" l="1"/>
  <c r="C32" i="9"/>
  <c r="H27" i="9"/>
  <c r="H32" i="9" s="1"/>
  <c r="E32" i="9"/>
  <c r="G27" i="9"/>
  <c r="G32" i="9" s="1"/>
  <c r="B27" i="9"/>
  <c r="D8" i="9"/>
  <c r="I27" i="9"/>
  <c r="I29" i="9" s="1"/>
  <c r="J161" i="4"/>
  <c r="J166" i="4" s="1"/>
  <c r="I161" i="4"/>
  <c r="I166" i="4" s="1"/>
  <c r="H161" i="4"/>
  <c r="H166" i="4" s="1"/>
  <c r="G161" i="4"/>
  <c r="G166" i="4" s="1"/>
  <c r="F161" i="4"/>
  <c r="F166" i="4" s="1"/>
  <c r="C161" i="4"/>
  <c r="C166" i="4" s="1"/>
  <c r="K165" i="4"/>
  <c r="F163" i="4"/>
  <c r="K162" i="4"/>
  <c r="J98" i="4"/>
  <c r="I98" i="4"/>
  <c r="H98" i="4"/>
  <c r="G98" i="4"/>
  <c r="K97" i="4"/>
  <c r="K96" i="4"/>
  <c r="K95" i="4"/>
  <c r="B86" i="4"/>
  <c r="B94" i="4" s="1"/>
  <c r="C86" i="4"/>
  <c r="C94" i="4" s="1"/>
  <c r="F86" i="4"/>
  <c r="F94" i="4" s="1"/>
  <c r="G86" i="4"/>
  <c r="G94" i="4" s="1"/>
  <c r="H86" i="4"/>
  <c r="H94" i="4" s="1"/>
  <c r="I86" i="4"/>
  <c r="I94" i="4" s="1"/>
  <c r="J86" i="4"/>
  <c r="J94" i="4" s="1"/>
  <c r="K93" i="4"/>
  <c r="K92" i="4"/>
  <c r="C91" i="4"/>
  <c r="D86" i="4"/>
  <c r="D91" i="4" s="1"/>
  <c r="E86" i="4"/>
  <c r="E91" i="4" s="1"/>
  <c r="K90" i="4"/>
  <c r="K89" i="4"/>
  <c r="B87" i="4"/>
  <c r="B88" i="4" s="1"/>
  <c r="C87" i="4"/>
  <c r="C88" i="4" s="1"/>
  <c r="D87" i="4"/>
  <c r="E87" i="4"/>
  <c r="F87" i="4"/>
  <c r="F88" i="4" s="1"/>
  <c r="B29" i="9"/>
  <c r="J30" i="9"/>
  <c r="F32" i="9"/>
  <c r="J33" i="9"/>
  <c r="J34" i="9"/>
  <c r="C35" i="9"/>
  <c r="F35" i="9"/>
  <c r="J36" i="9"/>
  <c r="J37" i="9"/>
  <c r="J38" i="9"/>
  <c r="F20" i="6"/>
  <c r="F19" i="6" s="1"/>
  <c r="L19" i="6" s="1"/>
  <c r="L27" i="6"/>
  <c r="L26" i="6"/>
  <c r="L28" i="6"/>
  <c r="L29" i="6"/>
  <c r="L30" i="6"/>
  <c r="L25" i="6"/>
  <c r="B62" i="6"/>
  <c r="B88" i="6"/>
  <c r="B75" i="6"/>
  <c r="L22" i="6"/>
  <c r="L23" i="6"/>
  <c r="L16" i="6"/>
  <c r="B32" i="5"/>
  <c r="E8" i="10"/>
  <c r="K8" i="10" s="1"/>
  <c r="C8" i="10"/>
  <c r="C14" i="10" s="1"/>
  <c r="B4" i="10"/>
  <c r="V13" i="5"/>
  <c r="Y13" i="5" s="1"/>
  <c r="O17" i="5"/>
  <c r="Q13" i="5" s="1"/>
  <c r="S13" i="5"/>
  <c r="U13" i="5"/>
  <c r="S15" i="5"/>
  <c r="U16" i="5"/>
  <c r="W16" i="5" s="1"/>
  <c r="Y16" i="5"/>
  <c r="V23" i="5"/>
  <c r="V24" i="5" s="1"/>
  <c r="G17" i="5"/>
  <c r="E15" i="10"/>
  <c r="K15" i="10" s="1"/>
  <c r="E16" i="10"/>
  <c r="K16" i="10" s="1"/>
  <c r="E17" i="10"/>
  <c r="K17" i="10" s="1"/>
  <c r="E14" i="10"/>
  <c r="K14" i="10" s="1"/>
  <c r="C9" i="10"/>
  <c r="C15" i="10" s="1"/>
  <c r="C10" i="10"/>
  <c r="C16" i="10" s="1"/>
  <c r="C11" i="10"/>
  <c r="C17" i="10" s="1"/>
  <c r="E11" i="10"/>
  <c r="K11" i="10" s="1"/>
  <c r="P13" i="5"/>
  <c r="P14" i="5"/>
  <c r="P15" i="5"/>
  <c r="U14" i="5"/>
  <c r="M21" i="5"/>
  <c r="E22" i="5"/>
  <c r="M16" i="5"/>
  <c r="X17" i="5"/>
  <c r="Y15" i="5"/>
  <c r="Z15" i="5" s="1"/>
  <c r="U15" i="5"/>
  <c r="W15" i="5" s="1"/>
  <c r="E10" i="10"/>
  <c r="K10" i="10" s="1"/>
  <c r="M15" i="5"/>
  <c r="S16" i="5"/>
  <c r="E19" i="5"/>
  <c r="M25" i="5"/>
  <c r="M26" i="5"/>
  <c r="G27" i="5"/>
  <c r="Y14" i="5"/>
  <c r="Z14" i="5" s="1"/>
  <c r="E9" i="10"/>
  <c r="K9" i="10" s="1"/>
  <c r="E20" i="5"/>
  <c r="P16" i="5"/>
  <c r="T17" i="5"/>
  <c r="M20" i="5"/>
  <c r="M19" i="5"/>
  <c r="G23" i="5"/>
  <c r="M13" i="5"/>
  <c r="M14" i="5"/>
  <c r="M7" i="5"/>
  <c r="B8" i="5"/>
  <c r="B7" i="5"/>
  <c r="L14" i="6"/>
  <c r="L17" i="6"/>
  <c r="L18" i="6"/>
  <c r="L24" i="6"/>
  <c r="L21" i="8"/>
  <c r="L20" i="8"/>
  <c r="L19" i="8"/>
  <c r="L18" i="8"/>
  <c r="L17" i="8"/>
  <c r="L16" i="8"/>
  <c r="H24" i="1"/>
  <c r="H23" i="1"/>
  <c r="H26" i="1"/>
  <c r="H25" i="1"/>
  <c r="H28" i="1"/>
  <c r="H12" i="2"/>
  <c r="H31" i="2"/>
  <c r="H30" i="2"/>
  <c r="H28" i="2"/>
  <c r="H27" i="2"/>
  <c r="H26" i="2"/>
  <c r="H23" i="2"/>
  <c r="H22" i="2"/>
  <c r="H21" i="2"/>
  <c r="H20" i="2"/>
  <c r="H19" i="2"/>
  <c r="H18" i="2"/>
  <c r="H16" i="2"/>
  <c r="H14" i="2"/>
  <c r="H13" i="2"/>
  <c r="H14" i="1"/>
  <c r="H22" i="1"/>
  <c r="H29" i="1"/>
  <c r="H30" i="1"/>
  <c r="H17" i="1"/>
  <c r="H20" i="1"/>
  <c r="H19" i="1"/>
  <c r="H18" i="1"/>
  <c r="H21" i="1"/>
  <c r="H27" i="1"/>
  <c r="H15" i="1"/>
  <c r="H13" i="1"/>
  <c r="H12" i="1"/>
  <c r="H11" i="1"/>
  <c r="B7" i="7"/>
  <c r="B8" i="7"/>
  <c r="Q14" i="5" l="1"/>
  <c r="R14" i="5" s="1"/>
  <c r="E88" i="4"/>
  <c r="Q15" i="5"/>
  <c r="M27" i="5"/>
  <c r="U17" i="5"/>
  <c r="H35" i="9"/>
  <c r="D88" i="4"/>
  <c r="Q16" i="5"/>
  <c r="I32" i="9"/>
  <c r="G88" i="4"/>
  <c r="F91" i="4"/>
  <c r="AA16" i="5"/>
  <c r="V17" i="5"/>
  <c r="M17" i="5"/>
  <c r="AA15" i="5"/>
  <c r="J163" i="4"/>
  <c r="W13" i="5"/>
  <c r="L20" i="6"/>
  <c r="H163" i="4"/>
  <c r="K87" i="4"/>
  <c r="G91" i="4"/>
  <c r="J88" i="4"/>
  <c r="I35" i="9"/>
  <c r="I88" i="4"/>
  <c r="H88" i="4"/>
  <c r="K86" i="4"/>
  <c r="I91" i="4"/>
  <c r="K161" i="4"/>
  <c r="I163" i="4"/>
  <c r="G163" i="4"/>
  <c r="C163" i="4"/>
  <c r="M23" i="5"/>
  <c r="AA14" i="5"/>
  <c r="P17" i="5"/>
  <c r="D29" i="9"/>
  <c r="B32" i="9"/>
  <c r="E29" i="9"/>
  <c r="F29" i="9"/>
  <c r="H29" i="9"/>
  <c r="B35" i="9"/>
  <c r="E18" i="10"/>
  <c r="C29" i="9"/>
  <c r="K18" i="10"/>
  <c r="K12" i="10"/>
  <c r="S14" i="5"/>
  <c r="S17" i="5" s="1"/>
  <c r="R17" i="5"/>
  <c r="AA13" i="5"/>
  <c r="Z13" i="5"/>
  <c r="Y17" i="5"/>
  <c r="K94" i="4"/>
  <c r="E12" i="10"/>
  <c r="Z16" i="5"/>
  <c r="J91" i="4"/>
  <c r="H91" i="4"/>
  <c r="B91" i="4"/>
  <c r="Q17" i="5" l="1"/>
  <c r="K163" i="4"/>
  <c r="K88" i="4"/>
  <c r="J35" i="9"/>
  <c r="AA17" i="5"/>
  <c r="W14" i="5"/>
  <c r="W17" i="5" s="1"/>
  <c r="K91" i="4"/>
  <c r="Z17" i="5"/>
</calcChain>
</file>

<file path=xl/sharedStrings.xml><?xml version="1.0" encoding="utf-8"?>
<sst xmlns="http://schemas.openxmlformats.org/spreadsheetml/2006/main" count="608" uniqueCount="228">
  <si>
    <t>COMEAU'S SEA FOODS LIMITED</t>
  </si>
  <si>
    <t>HERRING PRODUCTION REPORT</t>
  </si>
  <si>
    <t>DATE:</t>
  </si>
  <si>
    <t>DESCRIPTION</t>
  </si>
  <si>
    <t>Butterfly Fillets</t>
  </si>
  <si>
    <t>Dressed Tail Off</t>
  </si>
  <si>
    <t>Pieces</t>
  </si>
  <si>
    <t>Fat Content</t>
  </si>
  <si>
    <t>COMMENTS:</t>
  </si>
  <si>
    <t>CODE</t>
  </si>
  <si>
    <t>TOTAL LBS</t>
  </si>
  <si>
    <t>ANGELA GOODWIN</t>
  </si>
  <si>
    <t>Fresh Fillets (IMO)</t>
  </si>
  <si>
    <t>Fresh Fillets (Connors)</t>
  </si>
  <si>
    <t>Roe</t>
  </si>
  <si>
    <t>Mackerel Bait</t>
  </si>
  <si>
    <t xml:space="preserve">Mackerel </t>
  </si>
  <si>
    <t>Herring Bait</t>
  </si>
  <si>
    <t>cs</t>
  </si>
  <si>
    <t>10-16</t>
  </si>
  <si>
    <t xml:space="preserve">M  </t>
  </si>
  <si>
    <t>REPORTED BY:</t>
  </si>
  <si>
    <t>PLANT:</t>
  </si>
  <si>
    <t>CFIA #</t>
  </si>
  <si>
    <t>SEA LIFE FISHERIES DIVISION</t>
  </si>
  <si>
    <t>Whole herring (Nova feeds)</t>
  </si>
  <si>
    <t>Reg</t>
  </si>
  <si>
    <t>P PX</t>
  </si>
  <si>
    <t>Whole herring (Dango)</t>
  </si>
  <si>
    <t>(Sardines) CB</t>
  </si>
  <si>
    <t>200/300 g</t>
  </si>
  <si>
    <t>100-200 g</t>
  </si>
  <si>
    <t>Whole Herring (15kg)</t>
  </si>
  <si>
    <t>Fresh</t>
  </si>
  <si>
    <t>Precuts</t>
  </si>
  <si>
    <t>400/600 g</t>
  </si>
  <si>
    <t>MM</t>
  </si>
  <si>
    <t>Connors Brothers Inc. Production</t>
  </si>
  <si>
    <t>7-11 BK</t>
  </si>
  <si>
    <t>8-10</t>
  </si>
  <si>
    <t>8-14 BK</t>
  </si>
  <si>
    <t xml:space="preserve">Precuts </t>
  </si>
  <si>
    <t>*</t>
  </si>
  <si>
    <t>13-16</t>
  </si>
  <si>
    <t>14.8%/7.5%</t>
  </si>
  <si>
    <t>Fillets good quality with a good grade. Sardines quite large, as they were yesterday</t>
  </si>
  <si>
    <t>* Fat 14.8%=10-16, 13-16 fillets. 7.5%= MM fillets and CB.</t>
  </si>
  <si>
    <t xml:space="preserve">M </t>
  </si>
  <si>
    <t>CBC</t>
  </si>
  <si>
    <t xml:space="preserve">Sardines had some very smashed up fish (due to dogfish bycatch?). </t>
  </si>
  <si>
    <t>Unit</t>
  </si>
  <si>
    <t>Lbs/unit</t>
  </si>
  <si>
    <t>lbs</t>
  </si>
  <si>
    <t xml:space="preserve">Mackerel Bait </t>
  </si>
  <si>
    <t>Fresh Herring Fillets</t>
  </si>
  <si>
    <t>MACKEREL PRODUCTION REPORT</t>
  </si>
  <si>
    <t>Herring Butterfly Fillets</t>
  </si>
  <si>
    <t xml:space="preserve">COMMENTS: </t>
  </si>
  <si>
    <t>Mackerel Cuttings (back split)</t>
  </si>
  <si>
    <t>Mackerel Cuttings (fillets)</t>
  </si>
  <si>
    <t>Fresh Whole Herring</t>
  </si>
  <si>
    <t>Fresh Whole herring</t>
  </si>
  <si>
    <t>CONNORS BROTHERS PRODUCTION REPORT</t>
  </si>
  <si>
    <t>Mackerel Food</t>
  </si>
  <si>
    <t>Herring Dressed</t>
  </si>
  <si>
    <t>FRANCOIS CORMIER</t>
  </si>
  <si>
    <t>CS</t>
  </si>
  <si>
    <t>LBS</t>
  </si>
  <si>
    <t>100-200 G</t>
  </si>
  <si>
    <t>Mackerel Bait (Little Bay Freezing)</t>
  </si>
  <si>
    <t>H&amp;G 150-300 G</t>
  </si>
  <si>
    <t>400-600 G</t>
  </si>
  <si>
    <t>Fresh Mackerel Cuttings</t>
  </si>
  <si>
    <t xml:space="preserve">Fresh Mackerel </t>
  </si>
  <si>
    <t>Details of Fresh Sales</t>
  </si>
  <si>
    <t>Local Sales</t>
  </si>
  <si>
    <t>Mackeral Single Fillets Salted</t>
  </si>
  <si>
    <t>MARCH 30/07</t>
  </si>
  <si>
    <t xml:space="preserve"> Heads and Racks</t>
  </si>
  <si>
    <t>Fish mostly bait today due to smaller overall size.  No 400-600 g produced, and far less H &amp; G.</t>
  </si>
  <si>
    <t>The H &amp; G was somewhat soft.  A greater amount of herring in the bait today especially early in production.</t>
  </si>
  <si>
    <t xml:space="preserve">Mackerel Cuttings </t>
  </si>
  <si>
    <t>Heads &amp; Guts</t>
  </si>
  <si>
    <t>BBL</t>
  </si>
  <si>
    <t>Mackerel Single Fillets Salted</t>
  </si>
  <si>
    <t>M</t>
  </si>
  <si>
    <t>8-12</t>
  </si>
  <si>
    <t>Plate Freezer</t>
  </si>
  <si>
    <t>diff</t>
  </si>
  <si>
    <t>coldstorage</t>
  </si>
  <si>
    <t>Slips</t>
  </si>
  <si>
    <t>Lbs</t>
  </si>
  <si>
    <t>Customer</t>
  </si>
  <si>
    <t>SO#</t>
  </si>
  <si>
    <t>ML</t>
  </si>
  <si>
    <t>Mackerel Fillets</t>
  </si>
  <si>
    <t>TOTAL</t>
  </si>
  <si>
    <t>ALLAN'S COUNT</t>
  </si>
  <si>
    <t>VESSEL</t>
  </si>
  <si>
    <t>Total CB</t>
  </si>
  <si>
    <t>Total Precuts</t>
  </si>
  <si>
    <t>Herring-Sardines CB</t>
  </si>
  <si>
    <t>Herring-Precuts 3 1/8</t>
  </si>
  <si>
    <t>%</t>
  </si>
  <si>
    <t>/.30</t>
  </si>
  <si>
    <t>PRECUTS</t>
  </si>
  <si>
    <t>SARDINES</t>
  </si>
  <si>
    <t xml:space="preserve">TOTAL/TANKER </t>
  </si>
  <si>
    <t>TONS</t>
  </si>
  <si>
    <t>Production Date</t>
  </si>
  <si>
    <t>Estimated Count</t>
  </si>
  <si>
    <t>ANGELA</t>
  </si>
  <si>
    <t>ROY</t>
  </si>
  <si>
    <t>ACTUAL</t>
  </si>
  <si>
    <t>DIVISION</t>
  </si>
  <si>
    <t>SARDINES CS</t>
  </si>
  <si>
    <t>BOAT</t>
  </si>
  <si>
    <t>TOTAL/BOAT</t>
  </si>
  <si>
    <t>Herring Fillets M</t>
  </si>
  <si>
    <t>Herring Fillets MM</t>
  </si>
  <si>
    <t>FILLETS</t>
  </si>
  <si>
    <t>Total Fillets</t>
  </si>
  <si>
    <t>/.45</t>
  </si>
  <si>
    <t>ATTEN: ALMA/MICHEL/FRANCOIS</t>
  </si>
  <si>
    <t>ROE</t>
  </si>
  <si>
    <t>NOVA FEEDS</t>
  </si>
  <si>
    <t>PRODUCTION COUNT COMPARISON</t>
  </si>
  <si>
    <t>PRODUCTS</t>
  </si>
  <si>
    <t>Office Slips</t>
  </si>
  <si>
    <t>ANDREW &amp; DEAN</t>
  </si>
  <si>
    <t>none taken</t>
  </si>
  <si>
    <t>7-11</t>
  </si>
  <si>
    <t>H&amp;G 200+</t>
  </si>
  <si>
    <t>FRESH MACKEREL</t>
  </si>
  <si>
    <t>H&amp;G 150-300g</t>
  </si>
  <si>
    <t>Single Salted Fillets</t>
  </si>
  <si>
    <t>Mack Back Split</t>
  </si>
  <si>
    <t>Guts &amp; Gills</t>
  </si>
  <si>
    <t>TUBS</t>
  </si>
  <si>
    <t>BARRELS</t>
  </si>
  <si>
    <t>MACK CUTTINGS</t>
  </si>
  <si>
    <t>SALES OF BARRELS</t>
  </si>
  <si>
    <t>BAR</t>
  </si>
  <si>
    <t>DATE</t>
  </si>
  <si>
    <t>HERRING</t>
  </si>
  <si>
    <t>(Local)</t>
  </si>
  <si>
    <t>200-400g</t>
  </si>
  <si>
    <t xml:space="preserve">200-400g </t>
  </si>
  <si>
    <t>BOX</t>
  </si>
  <si>
    <t>AUSTIN NICKERSON</t>
  </si>
  <si>
    <t>2594C</t>
  </si>
  <si>
    <t>(Deep Cove)</t>
  </si>
  <si>
    <t>FISHER FISHERIES</t>
  </si>
  <si>
    <t>400-600g</t>
  </si>
  <si>
    <t xml:space="preserve">Fresh Mackerel Cuttings </t>
  </si>
  <si>
    <t>200-400G</t>
  </si>
  <si>
    <t>JAMES CONRAD</t>
  </si>
  <si>
    <t>(K&amp;N Fisheries)</t>
  </si>
  <si>
    <t>(The Bait Man)</t>
  </si>
  <si>
    <t>ATLANTIC QUEST</t>
  </si>
  <si>
    <t>TWO ROSE</t>
  </si>
  <si>
    <t>100-200g</t>
  </si>
  <si>
    <t>200-400</t>
  </si>
  <si>
    <t>I DEVEAU</t>
  </si>
  <si>
    <t>2659C</t>
  </si>
  <si>
    <t>2660C</t>
  </si>
  <si>
    <t>MAN CAM FISH</t>
  </si>
  <si>
    <t>2661C</t>
  </si>
  <si>
    <t>LITTLE ISLAND</t>
  </si>
  <si>
    <t>2662C</t>
  </si>
  <si>
    <t>2664C</t>
  </si>
  <si>
    <t>2665C</t>
  </si>
  <si>
    <t>2666C</t>
  </si>
  <si>
    <t>100-200G</t>
  </si>
  <si>
    <t>Plain 400-600 g bait had busted bellies and missing heads removed before packing, so actually</t>
  </si>
  <si>
    <t>a pretty good pack. Lots of roe in bellies. The 400-600 g "with a circle" is the 16 boxes on the second load that was</t>
  </si>
  <si>
    <t>caught earlier, mixed with the busted bellies from the good pack we did first. Please note: all boxes are 30 lbs</t>
  </si>
  <si>
    <t>with no overpack.</t>
  </si>
  <si>
    <t>FREEZING,PACKING</t>
  </si>
  <si>
    <t xml:space="preserve"> </t>
  </si>
  <si>
    <t>Count</t>
  </si>
  <si>
    <t>STRAPPER-30/pallet</t>
  </si>
  <si>
    <t>Coldstorage</t>
  </si>
  <si>
    <t>Pallet Tags</t>
  </si>
  <si>
    <t>Mack bait 200-400</t>
  </si>
  <si>
    <t>T41 Roe</t>
  </si>
  <si>
    <t>25 FOR ROE</t>
  </si>
  <si>
    <t>ROE M</t>
  </si>
  <si>
    <t>mack</t>
  </si>
  <si>
    <t>6-8</t>
  </si>
  <si>
    <t>6-8 X</t>
  </si>
  <si>
    <t>YES</t>
  </si>
  <si>
    <t>Inches</t>
  </si>
  <si>
    <t>COUNT</t>
  </si>
  <si>
    <t xml:space="preserve">   COMEAU'S SEA FOODS LTD.</t>
  </si>
  <si>
    <t>HERRING LENGTH FREQUENCY TALLY SHEET</t>
  </si>
  <si>
    <t>SAMPLED BY:</t>
  </si>
  <si>
    <t>CATCH VESSEL OR WEIR:</t>
  </si>
  <si>
    <t>CATCH LOCATION:</t>
  </si>
  <si>
    <t xml:space="preserve">       TOTALS</t>
  </si>
  <si>
    <t>cm</t>
  </si>
  <si>
    <t>TALLY</t>
  </si>
  <si>
    <t>in.   %</t>
  </si>
  <si>
    <t>8.0</t>
  </si>
  <si>
    <t>9.0</t>
  </si>
  <si>
    <t>10.0</t>
  </si>
  <si>
    <t>11.0</t>
  </si>
  <si>
    <t>12.0</t>
  </si>
  <si>
    <t>13.0</t>
  </si>
  <si>
    <t>Total Herring Weight:</t>
  </si>
  <si>
    <t>grams</t>
  </si>
  <si>
    <t>Average Herring Weight:</t>
  </si>
  <si>
    <t>Average Herring Length:</t>
  </si>
  <si>
    <t>FROZEN SAMPLE?</t>
  </si>
  <si>
    <t xml:space="preserve">CATCH WEIGHT: </t>
  </si>
  <si>
    <t>NO</t>
  </si>
  <si>
    <t>TAGGED SET?</t>
  </si>
  <si>
    <t>MT</t>
  </si>
  <si>
    <t>ST. ANDREW</t>
  </si>
  <si>
    <t>DATE LANDED: (d,m,y)</t>
  </si>
  <si>
    <t>NICOLE COMEAU</t>
  </si>
  <si>
    <t>SEALIFE II CSF11</t>
  </si>
  <si>
    <t>AREA 7 GERMAN BANK</t>
  </si>
  <si>
    <t>43°15.1N   66°26.0W</t>
  </si>
  <si>
    <t>?</t>
  </si>
  <si>
    <t>LADY JANICE  CSF 12</t>
  </si>
  <si>
    <t>43°16.057N   66°03.670W</t>
  </si>
  <si>
    <t>AREA 11 SW GROUNDS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</si>
</sst>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7" formatCode="[$-409]mmmm\ d\,\ yyyy;@"/>
    <numFmt numFmtId="168" formatCode="0.0"/>
    <numFmt numFmtId="169" formatCode="[$-409]d\-mmm\-yy;@"/>
    <numFmt numFmtId="170" formatCode=";;;"/>
    <numFmt numFmtId="171" formatCode="yyyy\-mm\-dd;@"/>
  </numFmts>
  <fonts count="48">
    <font>
      <sz val="10"/>
      <name val="Arial"/>
    </font>
    <font>
      <sz val="10"/>
      <name val="Arial"/>
      <family val="2"/>
    </font>
    <font>
      <sz val="10"/>
      <name val="Arabic Transparent"/>
      <charset val="178"/>
    </font>
    <font>
      <sz val="12"/>
      <name val="Arabic Transparent"/>
      <charset val="178"/>
    </font>
    <font>
      <sz val="8"/>
      <name val="Arial"/>
      <family val="2"/>
    </font>
    <font>
      <sz val="11"/>
      <name val="Arabic Transparent"/>
      <charset val="178"/>
    </font>
    <font>
      <u/>
      <sz val="11"/>
      <name val="Arabic Transparent"/>
      <charset val="178"/>
    </font>
    <font>
      <b/>
      <sz val="12"/>
      <name val="Arabic Transparent"/>
      <charset val="178"/>
    </font>
    <font>
      <b/>
      <sz val="14"/>
      <name val="Arabic Transparent"/>
      <charset val="178"/>
    </font>
    <font>
      <b/>
      <u/>
      <sz val="16"/>
      <name val="Arabic Transparent"/>
      <charset val="178"/>
    </font>
    <font>
      <b/>
      <sz val="11"/>
      <name val="Arabic Transparent"/>
      <charset val="178"/>
    </font>
    <font>
      <sz val="10"/>
      <name val="David Transparent"/>
      <charset val="177"/>
    </font>
    <font>
      <sz val="8"/>
      <name val="Arabic Transparent"/>
      <charset val="178"/>
    </font>
    <font>
      <b/>
      <sz val="10"/>
      <name val="Arabic Transparent"/>
      <charset val="178"/>
    </font>
    <font>
      <b/>
      <sz val="16"/>
      <name val="Arabic Transparent"/>
      <charset val="178"/>
    </font>
    <font>
      <b/>
      <u/>
      <sz val="12"/>
      <name val="Arabic Transparent"/>
      <charset val="178"/>
    </font>
    <font>
      <b/>
      <u/>
      <sz val="14"/>
      <name val="Arabic Transparent"/>
      <charset val="178"/>
    </font>
    <font>
      <b/>
      <sz val="9"/>
      <name val="Arabic Transparent"/>
      <charset val="178"/>
    </font>
    <font>
      <sz val="9"/>
      <name val="Arabic Transparent"/>
      <charset val="178"/>
    </font>
    <font>
      <b/>
      <sz val="14"/>
      <name val="Arial Black"/>
      <family val="2"/>
    </font>
    <font>
      <b/>
      <sz val="8"/>
      <name val="Arabic Transparent"/>
      <charset val="178"/>
    </font>
    <font>
      <b/>
      <sz val="11"/>
      <name val="Arabic Transparent"/>
    </font>
    <font>
      <b/>
      <sz val="10"/>
      <name val="Arabic Transparent"/>
    </font>
    <font>
      <b/>
      <sz val="9"/>
      <name val="Arabic Transparent"/>
    </font>
    <font>
      <sz val="11"/>
      <name val="Arabic Transparent"/>
    </font>
    <font>
      <b/>
      <sz val="8"/>
      <name val="Arabic Transparent"/>
    </font>
    <font>
      <sz val="8"/>
      <name val="Arabic Transparent"/>
    </font>
    <font>
      <sz val="10"/>
      <name val="Arabic Transparent"/>
    </font>
    <font>
      <b/>
      <sz val="7"/>
      <name val="Arabic Transparent"/>
    </font>
    <font>
      <sz val="10"/>
      <name val="Century"/>
      <family val="1"/>
    </font>
    <font>
      <b/>
      <sz val="14"/>
      <name val="Century"/>
      <family val="1"/>
    </font>
    <font>
      <b/>
      <u/>
      <sz val="16"/>
      <name val="Century"/>
      <family val="1"/>
    </font>
    <font>
      <sz val="11"/>
      <name val="Century"/>
      <family val="1"/>
    </font>
    <font>
      <b/>
      <sz val="12"/>
      <name val="Century"/>
      <family val="1"/>
    </font>
    <font>
      <sz val="12"/>
      <name val="Century"/>
      <family val="1"/>
    </font>
    <font>
      <b/>
      <sz val="10"/>
      <name val="Century"/>
      <family val="1"/>
    </font>
    <font>
      <b/>
      <sz val="11"/>
      <name val="Century"/>
      <family val="1"/>
    </font>
    <font>
      <b/>
      <sz val="8"/>
      <name val="Century"/>
      <family val="1"/>
    </font>
    <font>
      <sz val="8"/>
      <name val="Century"/>
      <family val="1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10"/>
      <name val="Brush Script MT"/>
      <family val="4"/>
    </font>
    <font>
      <sz val="18"/>
      <name val="Arial Black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mediumGray">
        <fgColor indexed="42"/>
        <bgColor indexed="26"/>
      </patternFill>
    </fill>
    <fill>
      <patternFill patternType="mediumGray">
        <fgColor indexed="42"/>
        <bgColor indexed="31"/>
      </patternFill>
    </fill>
    <fill>
      <patternFill patternType="mediumGray">
        <fgColor indexed="42"/>
        <bgColor indexed="44"/>
      </patternFill>
    </fill>
    <fill>
      <patternFill patternType="mediumGray">
        <fgColor indexed="26"/>
        <bgColor indexed="31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mediumGray">
        <fgColor indexed="26"/>
        <bgColor indexed="46"/>
      </patternFill>
    </fill>
    <fill>
      <patternFill patternType="mediumGray">
        <fgColor indexed="31"/>
        <bgColor indexed="43"/>
      </patternFill>
    </fill>
    <fill>
      <patternFill patternType="mediumGray">
        <fgColor indexed="26"/>
        <bgColor indexed="42"/>
      </patternFill>
    </fill>
    <fill>
      <patternFill patternType="mediumGray">
        <fgColor indexed="26"/>
        <bgColor indexed="44"/>
      </patternFill>
    </fill>
    <fill>
      <patternFill patternType="mediumGray">
        <fgColor indexed="26"/>
        <bgColor theme="6" tint="0.59999389629810485"/>
      </patternFill>
    </fill>
    <fill>
      <patternFill patternType="solid">
        <fgColor theme="5" tint="0.79998168889431442"/>
        <bgColor indexed="64"/>
      </patternFill>
    </fill>
  </fills>
  <borders count="9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4" fillId="0" borderId="0"/>
  </cellStyleXfs>
  <cellXfs count="548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1" xfId="0" applyFont="1" applyBorder="1"/>
    <xf numFmtId="0" fontId="6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7" fillId="0" borderId="0" xfId="0" applyFont="1"/>
    <xf numFmtId="0" fontId="10" fillId="0" borderId="0" xfId="0" applyFont="1"/>
    <xf numFmtId="0" fontId="7" fillId="0" borderId="0" xfId="0" applyFont="1" applyAlignment="1">
      <alignment horizontal="left"/>
    </xf>
    <xf numFmtId="0" fontId="11" fillId="0" borderId="0" xfId="0" applyFont="1"/>
    <xf numFmtId="14" fontId="7" fillId="0" borderId="2" xfId="0" applyNumberFormat="1" applyFont="1" applyBorder="1" applyProtection="1">
      <protection locked="0" hidden="1"/>
    </xf>
    <xf numFmtId="0" fontId="7" fillId="0" borderId="2" xfId="0" applyFont="1" applyBorder="1" applyProtection="1">
      <protection locked="0" hidden="1"/>
    </xf>
    <xf numFmtId="0" fontId="7" fillId="0" borderId="2" xfId="0" applyFont="1" applyBorder="1" applyAlignment="1" applyProtection="1">
      <alignment horizontal="left"/>
      <protection locked="0" hidden="1"/>
    </xf>
    <xf numFmtId="0" fontId="10" fillId="0" borderId="3" xfId="0" applyFont="1" applyBorder="1" applyAlignment="1" applyProtection="1">
      <alignment horizontal="left"/>
      <protection locked="0" hidden="1"/>
    </xf>
    <xf numFmtId="0" fontId="10" fillId="0" borderId="3" xfId="0" applyFont="1" applyBorder="1" applyProtection="1">
      <protection locked="0" hidden="1"/>
    </xf>
    <xf numFmtId="0" fontId="10" fillId="0" borderId="0" xfId="0" applyFont="1" applyProtection="1">
      <protection locked="0" hidden="1"/>
    </xf>
    <xf numFmtId="0" fontId="7" fillId="0" borderId="0" xfId="0" applyFont="1" applyProtection="1">
      <protection locked="0" hidden="1"/>
    </xf>
    <xf numFmtId="0" fontId="10" fillId="0" borderId="2" xfId="0" applyFont="1" applyBorder="1" applyProtection="1">
      <protection locked="0" hidden="1"/>
    </xf>
    <xf numFmtId="0" fontId="5" fillId="0" borderId="2" xfId="0" applyFont="1" applyBorder="1" applyProtection="1">
      <protection locked="0" hidden="1"/>
    </xf>
    <xf numFmtId="0" fontId="5" fillId="0" borderId="0" xfId="0" applyFont="1" applyProtection="1">
      <protection locked="0" hidden="1"/>
    </xf>
    <xf numFmtId="0" fontId="5" fillId="0" borderId="2" xfId="0" applyFont="1" applyBorder="1" applyAlignment="1" applyProtection="1">
      <alignment horizontal="center"/>
      <protection locked="0" hidden="1"/>
    </xf>
    <xf numFmtId="0" fontId="5" fillId="0" borderId="3" xfId="0" applyFont="1" applyBorder="1" applyProtection="1">
      <protection locked="0" hidden="1"/>
    </xf>
    <xf numFmtId="10" fontId="5" fillId="0" borderId="0" xfId="0" applyNumberFormat="1" applyFont="1" applyAlignment="1" applyProtection="1">
      <alignment horizontal="right"/>
      <protection locked="0" hidden="1"/>
    </xf>
    <xf numFmtId="16" fontId="5" fillId="0" borderId="2" xfId="0" applyNumberFormat="1" applyFont="1" applyBorder="1" applyAlignment="1" applyProtection="1">
      <alignment horizontal="center"/>
      <protection locked="0" hidden="1"/>
    </xf>
    <xf numFmtId="0" fontId="5" fillId="0" borderId="2" xfId="0" applyFont="1" applyBorder="1" applyAlignment="1" applyProtection="1">
      <alignment horizontal="left"/>
      <protection locked="0" hidden="1"/>
    </xf>
    <xf numFmtId="165" fontId="5" fillId="0" borderId="0" xfId="0" applyNumberFormat="1" applyFont="1"/>
    <xf numFmtId="166" fontId="13" fillId="0" borderId="2" xfId="0" applyNumberFormat="1" applyFont="1" applyBorder="1" applyProtection="1">
      <protection locked="0" hidden="1"/>
    </xf>
    <xf numFmtId="165" fontId="10" fillId="0" borderId="2" xfId="1" applyNumberFormat="1" applyFont="1" applyFill="1" applyBorder="1" applyProtection="1">
      <protection locked="0" hidden="1"/>
    </xf>
    <xf numFmtId="165" fontId="10" fillId="0" borderId="0" xfId="1" applyNumberFormat="1" applyFont="1" applyFill="1" applyBorder="1" applyProtection="1">
      <protection locked="0" hidden="1"/>
    </xf>
    <xf numFmtId="10" fontId="10" fillId="0" borderId="4" xfId="2" applyNumberFormat="1" applyFont="1" applyFill="1" applyBorder="1" applyAlignment="1" applyProtection="1">
      <alignment horizontal="right"/>
      <protection locked="0" hidden="1"/>
    </xf>
    <xf numFmtId="165" fontId="5" fillId="0" borderId="0" xfId="1" applyNumberFormat="1" applyFont="1" applyFill="1"/>
    <xf numFmtId="0" fontId="8" fillId="0" borderId="0" xfId="0" applyFont="1" applyAlignment="1">
      <alignment horizontal="center"/>
    </xf>
    <xf numFmtId="16" fontId="5" fillId="0" borderId="2" xfId="0" quotePrefix="1" applyNumberFormat="1" applyFont="1" applyBorder="1" applyAlignment="1" applyProtection="1">
      <alignment horizontal="center"/>
      <protection locked="0" hidden="1"/>
    </xf>
    <xf numFmtId="0" fontId="5" fillId="0" borderId="2" xfId="0" quotePrefix="1" applyFont="1" applyBorder="1" applyAlignment="1" applyProtection="1">
      <alignment horizontal="center"/>
      <protection locked="0" hidden="1"/>
    </xf>
    <xf numFmtId="0" fontId="12" fillId="0" borderId="0" xfId="0" applyFont="1"/>
    <xf numFmtId="12" fontId="5" fillId="0" borderId="2" xfId="0" applyNumberFormat="1" applyFont="1" applyBorder="1" applyAlignment="1" applyProtection="1">
      <alignment horizontal="center"/>
      <protection locked="0" hidden="1"/>
    </xf>
    <xf numFmtId="0" fontId="5" fillId="0" borderId="1" xfId="0" applyFont="1" applyBorder="1" applyProtection="1">
      <protection locked="0" hidden="1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2" xfId="0" applyFont="1" applyBorder="1" applyAlignment="1" applyProtection="1">
      <alignment horizontal="center"/>
      <protection locked="0" hidden="1"/>
    </xf>
    <xf numFmtId="16" fontId="5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right"/>
    </xf>
    <xf numFmtId="165" fontId="2" fillId="0" borderId="0" xfId="0" applyNumberFormat="1" applyFont="1"/>
    <xf numFmtId="0" fontId="5" fillId="2" borderId="0" xfId="0" applyFont="1" applyFill="1"/>
    <xf numFmtId="165" fontId="10" fillId="2" borderId="2" xfId="1" applyNumberFormat="1" applyFont="1" applyFill="1" applyBorder="1" applyProtection="1">
      <protection locked="0" hidden="1"/>
    </xf>
    <xf numFmtId="0" fontId="5" fillId="2" borderId="0" xfId="0" applyFont="1" applyFill="1" applyProtection="1">
      <protection locked="0" hidden="1"/>
    </xf>
    <xf numFmtId="0" fontId="5" fillId="2" borderId="2" xfId="0" applyFont="1" applyFill="1" applyBorder="1" applyAlignment="1" applyProtection="1">
      <alignment horizontal="center"/>
      <protection locked="0" hidden="1"/>
    </xf>
    <xf numFmtId="12" fontId="5" fillId="2" borderId="2" xfId="0" applyNumberFormat="1" applyFont="1" applyFill="1" applyBorder="1" applyAlignment="1" applyProtection="1">
      <alignment horizontal="center"/>
      <protection locked="0" hidden="1"/>
    </xf>
    <xf numFmtId="166" fontId="17" fillId="0" borderId="2" xfId="0" applyNumberFormat="1" applyFont="1" applyBorder="1" applyAlignment="1" applyProtection="1">
      <alignment horizontal="left"/>
      <protection locked="0" hidden="1"/>
    </xf>
    <xf numFmtId="0" fontId="2" fillId="3" borderId="0" xfId="0" applyFont="1" applyFill="1"/>
    <xf numFmtId="0" fontId="11" fillId="3" borderId="0" xfId="0" applyFont="1" applyFill="1"/>
    <xf numFmtId="0" fontId="2" fillId="0" borderId="2" xfId="0" applyFont="1" applyBorder="1" applyAlignment="1" applyProtection="1">
      <alignment horizontal="center"/>
      <protection locked="0" hidden="1"/>
    </xf>
    <xf numFmtId="16" fontId="2" fillId="0" borderId="2" xfId="0" applyNumberFormat="1" applyFont="1" applyBorder="1" applyAlignment="1" applyProtection="1">
      <alignment horizontal="center"/>
      <protection locked="0" hidden="1"/>
    </xf>
    <xf numFmtId="12" fontId="2" fillId="0" borderId="2" xfId="0" applyNumberFormat="1" applyFont="1" applyBorder="1" applyAlignment="1" applyProtection="1">
      <alignment horizontal="center"/>
      <protection locked="0" hidden="1"/>
    </xf>
    <xf numFmtId="0" fontId="3" fillId="0" borderId="0" xfId="0" quotePrefix="1" applyFont="1"/>
    <xf numFmtId="0" fontId="10" fillId="0" borderId="5" xfId="0" applyFont="1" applyBorder="1" applyProtection="1">
      <protection locked="0" hidden="1"/>
    </xf>
    <xf numFmtId="0" fontId="7" fillId="0" borderId="5" xfId="0" applyFont="1" applyBorder="1" applyAlignment="1" applyProtection="1">
      <alignment horizontal="left"/>
      <protection locked="0" hidden="1"/>
    </xf>
    <xf numFmtId="0" fontId="5" fillId="0" borderId="2" xfId="0" quotePrefix="1" applyFont="1" applyBorder="1" applyAlignment="1">
      <alignment horizontal="center"/>
    </xf>
    <xf numFmtId="1" fontId="5" fillId="0" borderId="2" xfId="0" quotePrefix="1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1" fillId="0" borderId="0" xfId="0" applyFont="1"/>
    <xf numFmtId="0" fontId="10" fillId="0" borderId="1" xfId="0" applyFont="1" applyBorder="1" applyAlignment="1" applyProtection="1">
      <alignment horizontal="right"/>
      <protection locked="0" hidden="1"/>
    </xf>
    <xf numFmtId="0" fontId="18" fillId="0" borderId="0" xfId="0" applyFont="1" applyProtection="1">
      <protection locked="0" hidden="1"/>
    </xf>
    <xf numFmtId="0" fontId="5" fillId="0" borderId="2" xfId="0" applyFont="1" applyBorder="1" applyAlignment="1">
      <alignment horizontal="center"/>
    </xf>
    <xf numFmtId="0" fontId="2" fillId="0" borderId="0" xfId="0" applyFont="1" applyAlignment="1" applyProtection="1">
      <alignment horizontal="center"/>
      <protection locked="0" hidden="1"/>
    </xf>
    <xf numFmtId="0" fontId="5" fillId="0" borderId="0" xfId="0" quotePrefix="1" applyFont="1" applyAlignment="1">
      <alignment horizontal="center"/>
    </xf>
    <xf numFmtId="1" fontId="5" fillId="0" borderId="0" xfId="0" quotePrefix="1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0" fontId="10" fillId="0" borderId="4" xfId="1" applyNumberFormat="1" applyFont="1" applyFill="1" applyBorder="1" applyProtection="1">
      <protection locked="0" hidden="1"/>
    </xf>
    <xf numFmtId="0" fontId="2" fillId="4" borderId="0" xfId="0" applyFont="1" applyFill="1"/>
    <xf numFmtId="0" fontId="11" fillId="4" borderId="0" xfId="0" applyFont="1" applyFill="1"/>
    <xf numFmtId="0" fontId="2" fillId="5" borderId="0" xfId="0" applyFont="1" applyFill="1"/>
    <xf numFmtId="0" fontId="11" fillId="5" borderId="0" xfId="0" applyFont="1" applyFill="1"/>
    <xf numFmtId="0" fontId="12" fillId="0" borderId="2" xfId="0" applyFont="1" applyBorder="1" applyAlignment="1">
      <alignment horizontal="center"/>
    </xf>
    <xf numFmtId="166" fontId="17" fillId="0" borderId="6" xfId="0" applyNumberFormat="1" applyFont="1" applyBorder="1" applyAlignment="1" applyProtection="1">
      <alignment horizontal="left"/>
      <protection locked="0" hidden="1"/>
    </xf>
    <xf numFmtId="1" fontId="12" fillId="0" borderId="2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right"/>
      <protection locked="0" hidden="1"/>
    </xf>
    <xf numFmtId="0" fontId="3" fillId="2" borderId="0" xfId="0" applyFont="1" applyFill="1"/>
    <xf numFmtId="0" fontId="2" fillId="2" borderId="2" xfId="0" applyFont="1" applyFill="1" applyBorder="1" applyAlignment="1" applyProtection="1">
      <alignment horizontal="center"/>
      <protection locked="0" hidden="1"/>
    </xf>
    <xf numFmtId="0" fontId="5" fillId="2" borderId="2" xfId="0" quotePrefix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1" fontId="5" fillId="2" borderId="2" xfId="0" quotePrefix="1" applyNumberFormat="1" applyFont="1" applyFill="1" applyBorder="1" applyAlignment="1">
      <alignment horizontal="center"/>
    </xf>
    <xf numFmtId="1" fontId="12" fillId="2" borderId="2" xfId="0" applyNumberFormat="1" applyFont="1" applyFill="1" applyBorder="1" applyAlignment="1">
      <alignment horizontal="center"/>
    </xf>
    <xf numFmtId="16" fontId="2" fillId="2" borderId="2" xfId="0" applyNumberFormat="1" applyFont="1" applyFill="1" applyBorder="1" applyAlignment="1" applyProtection="1">
      <alignment horizontal="center"/>
      <protection locked="0" hidden="1"/>
    </xf>
    <xf numFmtId="0" fontId="12" fillId="2" borderId="0" xfId="0" applyFont="1" applyFill="1"/>
    <xf numFmtId="0" fontId="2" fillId="2" borderId="0" xfId="0" applyFont="1" applyFill="1"/>
    <xf numFmtId="165" fontId="20" fillId="0" borderId="0" xfId="1" applyNumberFormat="1" applyFont="1" applyFill="1" applyBorder="1" applyProtection="1">
      <protection locked="0" hidden="1"/>
    </xf>
    <xf numFmtId="0" fontId="5" fillId="0" borderId="2" xfId="0" applyFont="1" applyBorder="1"/>
    <xf numFmtId="12" fontId="12" fillId="0" borderId="0" xfId="0" applyNumberFormat="1" applyFont="1" applyAlignment="1" applyProtection="1">
      <alignment horizontal="left"/>
      <protection locked="0" hidden="1"/>
    </xf>
    <xf numFmtId="0" fontId="12" fillId="0" borderId="0" xfId="0" applyFont="1" applyAlignment="1" applyProtection="1">
      <alignment horizontal="left"/>
      <protection locked="0" hidden="1"/>
    </xf>
    <xf numFmtId="165" fontId="5" fillId="0" borderId="1" xfId="0" applyNumberFormat="1" applyFont="1" applyBorder="1"/>
    <xf numFmtId="0" fontId="5" fillId="0" borderId="5" xfId="0" applyFont="1" applyBorder="1" applyProtection="1">
      <protection locked="0" hidden="1"/>
    </xf>
    <xf numFmtId="0" fontId="12" fillId="0" borderId="0" xfId="0" applyFont="1" applyAlignment="1">
      <alignment horizontal="right"/>
    </xf>
    <xf numFmtId="0" fontId="5" fillId="6" borderId="0" xfId="0" applyFont="1" applyFill="1"/>
    <xf numFmtId="0" fontId="13" fillId="0" borderId="2" xfId="0" applyFont="1" applyBorder="1" applyProtection="1">
      <protection locked="0" hidden="1"/>
    </xf>
    <xf numFmtId="0" fontId="24" fillId="0" borderId="2" xfId="0" applyFont="1" applyBorder="1" applyProtection="1">
      <protection locked="0" hidden="1"/>
    </xf>
    <xf numFmtId="167" fontId="12" fillId="0" borderId="0" xfId="0" applyNumberFormat="1" applyFont="1" applyAlignment="1">
      <alignment horizontal="left"/>
    </xf>
    <xf numFmtId="166" fontId="20" fillId="0" borderId="2" xfId="0" applyNumberFormat="1" applyFont="1" applyBorder="1" applyAlignment="1" applyProtection="1">
      <alignment horizontal="left"/>
      <protection locked="0" hidden="1"/>
    </xf>
    <xf numFmtId="0" fontId="13" fillId="0" borderId="7" xfId="0" applyFont="1" applyBorder="1" applyAlignment="1">
      <alignment horizontal="left"/>
    </xf>
    <xf numFmtId="0" fontId="13" fillId="0" borderId="8" xfId="0" applyFont="1" applyBorder="1"/>
    <xf numFmtId="0" fontId="13" fillId="0" borderId="8" xfId="0" applyFont="1" applyBorder="1" applyAlignment="1">
      <alignment horizontal="center"/>
    </xf>
    <xf numFmtId="1" fontId="13" fillId="0" borderId="8" xfId="0" quotePrefix="1" applyNumberFormat="1" applyFont="1" applyBorder="1" applyAlignment="1">
      <alignment horizontal="center"/>
    </xf>
    <xf numFmtId="1" fontId="13" fillId="0" borderId="8" xfId="0" applyNumberFormat="1" applyFont="1" applyBorder="1" applyAlignment="1">
      <alignment horizontal="center"/>
    </xf>
    <xf numFmtId="165" fontId="13" fillId="0" borderId="9" xfId="1" applyNumberFormat="1" applyFont="1" applyFill="1" applyBorder="1" applyProtection="1">
      <protection locked="0" hidden="1"/>
    </xf>
    <xf numFmtId="12" fontId="3" fillId="0" borderId="0" xfId="0" applyNumberFormat="1" applyFont="1"/>
    <xf numFmtId="1" fontId="5" fillId="0" borderId="0" xfId="0" applyNumberFormat="1" applyFont="1" applyProtection="1">
      <protection locked="0" hidden="1"/>
    </xf>
    <xf numFmtId="9" fontId="2" fillId="0" borderId="0" xfId="2" applyFont="1" applyFill="1"/>
    <xf numFmtId="1" fontId="2" fillId="0" borderId="0" xfId="0" applyNumberFormat="1" applyFont="1"/>
    <xf numFmtId="0" fontId="2" fillId="0" borderId="3" xfId="0" applyFont="1" applyBorder="1"/>
    <xf numFmtId="9" fontId="2" fillId="0" borderId="3" xfId="2" applyFont="1" applyFill="1" applyBorder="1"/>
    <xf numFmtId="1" fontId="2" fillId="2" borderId="0" xfId="0" applyNumberFormat="1" applyFont="1" applyFill="1"/>
    <xf numFmtId="0" fontId="2" fillId="2" borderId="3" xfId="0" applyFont="1" applyFill="1" applyBorder="1"/>
    <xf numFmtId="1" fontId="2" fillId="2" borderId="3" xfId="0" applyNumberFormat="1" applyFont="1" applyFill="1" applyBorder="1"/>
    <xf numFmtId="0" fontId="2" fillId="7" borderId="0" xfId="0" applyFont="1" applyFill="1"/>
    <xf numFmtId="1" fontId="2" fillId="7" borderId="3" xfId="0" applyNumberFormat="1" applyFont="1" applyFill="1" applyBorder="1"/>
    <xf numFmtId="0" fontId="12" fillId="0" borderId="5" xfId="0" applyFont="1" applyBorder="1" applyAlignment="1">
      <alignment horizontal="center"/>
    </xf>
    <xf numFmtId="0" fontId="12" fillId="0" borderId="5" xfId="0" quotePrefix="1" applyFont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5" xfId="0" quotePrefix="1" applyFont="1" applyFill="1" applyBorder="1" applyAlignment="1">
      <alignment horizontal="center"/>
    </xf>
    <xf numFmtId="0" fontId="12" fillId="7" borderId="5" xfId="0" applyFont="1" applyFill="1" applyBorder="1"/>
    <xf numFmtId="0" fontId="13" fillId="0" borderId="10" xfId="0" applyFont="1" applyBorder="1"/>
    <xf numFmtId="0" fontId="12" fillId="0" borderId="2" xfId="0" applyFont="1" applyBorder="1"/>
    <xf numFmtId="0" fontId="12" fillId="8" borderId="5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2" fillId="8" borderId="0" xfId="0" applyFont="1" applyFill="1"/>
    <xf numFmtId="0" fontId="2" fillId="8" borderId="3" xfId="0" applyFont="1" applyFill="1" applyBorder="1"/>
    <xf numFmtId="0" fontId="12" fillId="8" borderId="2" xfId="0" applyFont="1" applyFill="1" applyBorder="1"/>
    <xf numFmtId="1" fontId="2" fillId="8" borderId="0" xfId="0" applyNumberFormat="1" applyFont="1" applyFill="1"/>
    <xf numFmtId="1" fontId="2" fillId="8" borderId="3" xfId="0" applyNumberFormat="1" applyFont="1" applyFill="1" applyBorder="1"/>
    <xf numFmtId="0" fontId="5" fillId="0" borderId="11" xfId="0" applyFont="1" applyBorder="1"/>
    <xf numFmtId="0" fontId="10" fillId="0" borderId="0" xfId="0" applyFont="1" applyAlignment="1" applyProtection="1">
      <alignment horizontal="left"/>
      <protection locked="0" hidden="1"/>
    </xf>
    <xf numFmtId="0" fontId="7" fillId="0" borderId="0" xfId="0" applyFont="1" applyAlignment="1" applyProtection="1">
      <alignment horizontal="left"/>
      <protection locked="0" hidden="1"/>
    </xf>
    <xf numFmtId="166" fontId="13" fillId="0" borderId="12" xfId="0" quotePrefix="1" applyNumberFormat="1" applyFont="1" applyBorder="1" applyAlignment="1" applyProtection="1">
      <alignment horizontal="left"/>
      <protection locked="0" hidden="1"/>
    </xf>
    <xf numFmtId="0" fontId="8" fillId="0" borderId="0" xfId="0" applyFont="1"/>
    <xf numFmtId="2" fontId="5" fillId="0" borderId="0" xfId="0" applyNumberFormat="1" applyFont="1" applyProtection="1">
      <protection locked="0" hidden="1"/>
    </xf>
    <xf numFmtId="16" fontId="12" fillId="0" borderId="2" xfId="0" applyNumberFormat="1" applyFont="1" applyBorder="1" applyAlignment="1" applyProtection="1">
      <alignment horizontal="left"/>
      <protection locked="0" hidden="1"/>
    </xf>
    <xf numFmtId="0" fontId="5" fillId="0" borderId="11" xfId="0" quotePrefix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" fontId="5" fillId="0" borderId="11" xfId="0" quotePrefix="1" applyNumberFormat="1" applyFont="1" applyBorder="1" applyAlignment="1">
      <alignment horizontal="center"/>
    </xf>
    <xf numFmtId="1" fontId="5" fillId="0" borderId="11" xfId="0" applyNumberFormat="1" applyFont="1" applyBorder="1" applyAlignment="1">
      <alignment horizontal="center"/>
    </xf>
    <xf numFmtId="0" fontId="12" fillId="0" borderId="2" xfId="0" applyFont="1" applyBorder="1" applyAlignment="1" applyProtection="1">
      <alignment horizontal="left"/>
      <protection locked="0" hidden="1"/>
    </xf>
    <xf numFmtId="0" fontId="2" fillId="0" borderId="11" xfId="0" applyFont="1" applyBorder="1" applyAlignment="1" applyProtection="1">
      <alignment horizontal="center"/>
      <protection locked="0" hidden="1"/>
    </xf>
    <xf numFmtId="0" fontId="2" fillId="9" borderId="0" xfId="0" applyFont="1" applyFill="1"/>
    <xf numFmtId="0" fontId="2" fillId="0" borderId="10" xfId="0" applyFont="1" applyBorder="1"/>
    <xf numFmtId="0" fontId="2" fillId="0" borderId="12" xfId="0" applyFont="1" applyBorder="1"/>
    <xf numFmtId="0" fontId="12" fillId="7" borderId="5" xfId="0" applyFont="1" applyFill="1" applyBorder="1" applyAlignment="1">
      <alignment horizontal="center"/>
    </xf>
    <xf numFmtId="0" fontId="12" fillId="7" borderId="2" xfId="0" applyFont="1" applyFill="1" applyBorder="1"/>
    <xf numFmtId="1" fontId="2" fillId="7" borderId="0" xfId="0" applyNumberFormat="1" applyFont="1" applyFill="1"/>
    <xf numFmtId="0" fontId="13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/>
    </xf>
    <xf numFmtId="1" fontId="13" fillId="0" borderId="0" xfId="0" quotePrefix="1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11" xfId="1" applyNumberFormat="1" applyFont="1" applyFill="1" applyBorder="1" applyProtection="1">
      <protection locked="0" hidden="1"/>
    </xf>
    <xf numFmtId="165" fontId="13" fillId="0" borderId="13" xfId="1" applyNumberFormat="1" applyFont="1" applyFill="1" applyBorder="1" applyProtection="1">
      <protection locked="0" hidden="1"/>
    </xf>
    <xf numFmtId="0" fontId="12" fillId="10" borderId="5" xfId="0" applyFont="1" applyFill="1" applyBorder="1" applyAlignment="1">
      <alignment horizontal="center"/>
    </xf>
    <xf numFmtId="0" fontId="12" fillId="10" borderId="5" xfId="0" quotePrefix="1" applyFont="1" applyFill="1" applyBorder="1" applyAlignment="1">
      <alignment horizontal="center"/>
    </xf>
    <xf numFmtId="0" fontId="12" fillId="10" borderId="2" xfId="0" applyFont="1" applyFill="1" applyBorder="1"/>
    <xf numFmtId="0" fontId="2" fillId="10" borderId="0" xfId="0" applyFont="1" applyFill="1"/>
    <xf numFmtId="1" fontId="2" fillId="10" borderId="0" xfId="0" applyNumberFormat="1" applyFont="1" applyFill="1"/>
    <xf numFmtId="0" fontId="2" fillId="10" borderId="3" xfId="0" applyFont="1" applyFill="1" applyBorder="1"/>
    <xf numFmtId="1" fontId="2" fillId="10" borderId="3" xfId="0" applyNumberFormat="1" applyFont="1" applyFill="1" applyBorder="1"/>
    <xf numFmtId="1" fontId="5" fillId="0" borderId="0" xfId="0" applyNumberFormat="1" applyFont="1"/>
    <xf numFmtId="1" fontId="5" fillId="0" borderId="0" xfId="0" applyNumberFormat="1" applyFont="1" applyAlignment="1" applyProtection="1">
      <alignment horizontal="right"/>
      <protection locked="0" hidden="1"/>
    </xf>
    <xf numFmtId="0" fontId="23" fillId="0" borderId="0" xfId="0" quotePrefix="1" applyFont="1" applyAlignment="1">
      <alignment horizontal="center"/>
    </xf>
    <xf numFmtId="0" fontId="12" fillId="0" borderId="6" xfId="0" applyFont="1" applyBorder="1"/>
    <xf numFmtId="0" fontId="12" fillId="0" borderId="3" xfId="0" applyFont="1" applyBorder="1" applyProtection="1">
      <protection locked="0" hidden="1"/>
    </xf>
    <xf numFmtId="0" fontId="12" fillId="0" borderId="3" xfId="0" applyFont="1" applyBorder="1" applyAlignment="1" applyProtection="1">
      <alignment horizontal="center"/>
      <protection locked="0" hidden="1"/>
    </xf>
    <xf numFmtId="16" fontId="2" fillId="0" borderId="14" xfId="0" applyNumberFormat="1" applyFont="1" applyBorder="1" applyAlignment="1">
      <alignment horizontal="center"/>
    </xf>
    <xf numFmtId="16" fontId="2" fillId="11" borderId="14" xfId="0" applyNumberFormat="1" applyFont="1" applyFill="1" applyBorder="1" applyAlignment="1">
      <alignment horizontal="center"/>
    </xf>
    <xf numFmtId="16" fontId="2" fillId="0" borderId="15" xfId="0" applyNumberFormat="1" applyFont="1" applyBorder="1" applyAlignment="1">
      <alignment horizontal="center"/>
    </xf>
    <xf numFmtId="0" fontId="2" fillId="11" borderId="0" xfId="0" applyFont="1" applyFill="1"/>
    <xf numFmtId="0" fontId="2" fillId="11" borderId="6" xfId="0" applyFont="1" applyFill="1" applyBorder="1"/>
    <xf numFmtId="16" fontId="2" fillId="0" borderId="16" xfId="0" quotePrefix="1" applyNumberFormat="1" applyFont="1" applyBorder="1" applyAlignment="1">
      <alignment horizontal="center"/>
    </xf>
    <xf numFmtId="12" fontId="2" fillId="0" borderId="14" xfId="0" quotePrefix="1" applyNumberFormat="1" applyFont="1" applyBorder="1" applyAlignment="1">
      <alignment horizontal="center"/>
    </xf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0" xfId="0" applyFont="1" applyFill="1"/>
    <xf numFmtId="0" fontId="2" fillId="6" borderId="21" xfId="0" applyFont="1" applyFill="1" applyBorder="1"/>
    <xf numFmtId="0" fontId="5" fillId="6" borderId="20" xfId="0" applyFont="1" applyFill="1" applyBorder="1"/>
    <xf numFmtId="0" fontId="5" fillId="6" borderId="21" xfId="0" applyFont="1" applyFill="1" applyBorder="1"/>
    <xf numFmtId="0" fontId="7" fillId="6" borderId="20" xfId="0" applyFont="1" applyFill="1" applyBorder="1"/>
    <xf numFmtId="0" fontId="7" fillId="6" borderId="0" xfId="0" applyFont="1" applyFill="1" applyAlignment="1">
      <alignment horizontal="left"/>
    </xf>
    <xf numFmtId="0" fontId="0" fillId="6" borderId="21" xfId="0" applyFill="1" applyBorder="1"/>
    <xf numFmtId="0" fontId="10" fillId="6" borderId="20" xfId="0" applyFont="1" applyFill="1" applyBorder="1"/>
    <xf numFmtId="0" fontId="7" fillId="6" borderId="0" xfId="0" applyFont="1" applyFill="1"/>
    <xf numFmtId="0" fontId="5" fillId="6" borderId="22" xfId="0" applyFont="1" applyFill="1" applyBorder="1"/>
    <xf numFmtId="0" fontId="5" fillId="6" borderId="1" xfId="0" applyFont="1" applyFill="1" applyBorder="1"/>
    <xf numFmtId="0" fontId="5" fillId="6" borderId="23" xfId="0" applyFont="1" applyFill="1" applyBorder="1"/>
    <xf numFmtId="0" fontId="2" fillId="12" borderId="3" xfId="0" applyFont="1" applyFill="1" applyBorder="1"/>
    <xf numFmtId="0" fontId="2" fillId="0" borderId="6" xfId="0" applyFont="1" applyBorder="1"/>
    <xf numFmtId="0" fontId="2" fillId="13" borderId="3" xfId="0" applyFont="1" applyFill="1" applyBorder="1"/>
    <xf numFmtId="0" fontId="2" fillId="6" borderId="14" xfId="0" applyFont="1" applyFill="1" applyBorder="1"/>
    <xf numFmtId="0" fontId="2" fillId="6" borderId="3" xfId="0" applyFont="1" applyFill="1" applyBorder="1"/>
    <xf numFmtId="0" fontId="13" fillId="6" borderId="13" xfId="0" applyFont="1" applyFill="1" applyBorder="1" applyProtection="1">
      <protection locked="0" hidden="1"/>
    </xf>
    <xf numFmtId="0" fontId="7" fillId="6" borderId="13" xfId="0" applyFont="1" applyFill="1" applyBorder="1" applyAlignment="1">
      <alignment horizontal="left"/>
    </xf>
    <xf numFmtId="0" fontId="10" fillId="6" borderId="0" xfId="0" applyFont="1" applyFill="1" applyProtection="1">
      <protection locked="0" hidden="1"/>
    </xf>
    <xf numFmtId="14" fontId="7" fillId="6" borderId="13" xfId="0" applyNumberFormat="1" applyFont="1" applyFill="1" applyBorder="1" applyProtection="1">
      <protection locked="0" hidden="1"/>
    </xf>
    <xf numFmtId="0" fontId="7" fillId="6" borderId="13" xfId="0" applyFont="1" applyFill="1" applyBorder="1" applyProtection="1">
      <protection locked="0" hidden="1"/>
    </xf>
    <xf numFmtId="0" fontId="7" fillId="6" borderId="13" xfId="0" applyFont="1" applyFill="1" applyBorder="1" applyAlignment="1" applyProtection="1">
      <alignment horizontal="left"/>
      <protection locked="0" hidden="1"/>
    </xf>
    <xf numFmtId="0" fontId="3" fillId="6" borderId="13" xfId="0" applyFont="1" applyFill="1" applyBorder="1" applyAlignment="1">
      <alignment horizontal="left"/>
    </xf>
    <xf numFmtId="0" fontId="10" fillId="6" borderId="8" xfId="0" applyFont="1" applyFill="1" applyBorder="1" applyAlignment="1" applyProtection="1">
      <alignment horizontal="left"/>
      <protection locked="0" hidden="1"/>
    </xf>
    <xf numFmtId="0" fontId="2" fillId="6" borderId="14" xfId="0" applyFont="1" applyFill="1" applyBorder="1" applyAlignment="1">
      <alignment horizontal="center"/>
    </xf>
    <xf numFmtId="0" fontId="2" fillId="0" borderId="0" xfId="0" quotePrefix="1" applyFont="1"/>
    <xf numFmtId="16" fontId="2" fillId="6" borderId="14" xfId="0" applyNumberFormat="1" applyFont="1" applyFill="1" applyBorder="1" applyAlignment="1">
      <alignment horizontal="center"/>
    </xf>
    <xf numFmtId="0" fontId="2" fillId="6" borderId="14" xfId="0" quotePrefix="1" applyFont="1" applyFill="1" applyBorder="1" applyAlignment="1">
      <alignment horizontal="center"/>
    </xf>
    <xf numFmtId="1" fontId="5" fillId="0" borderId="0" xfId="0" applyNumberFormat="1" applyFont="1" applyAlignment="1">
      <alignment horizontal="left"/>
    </xf>
    <xf numFmtId="10" fontId="10" fillId="0" borderId="4" xfId="1" applyNumberFormat="1" applyFont="1" applyFill="1" applyBorder="1" applyAlignment="1" applyProtection="1">
      <alignment horizontal="right"/>
      <protection locked="0" hidden="1"/>
    </xf>
    <xf numFmtId="0" fontId="3" fillId="14" borderId="0" xfId="0" applyFont="1" applyFill="1"/>
    <xf numFmtId="0" fontId="5" fillId="14" borderId="0" xfId="0" applyFont="1" applyFill="1" applyProtection="1">
      <protection locked="0" hidden="1"/>
    </xf>
    <xf numFmtId="12" fontId="2" fillId="14" borderId="2" xfId="0" applyNumberFormat="1" applyFont="1" applyFill="1" applyBorder="1" applyAlignment="1" applyProtection="1">
      <alignment horizontal="center"/>
      <protection locked="0" hidden="1"/>
    </xf>
    <xf numFmtId="0" fontId="5" fillId="14" borderId="0" xfId="0" applyFont="1" applyFill="1"/>
    <xf numFmtId="0" fontId="5" fillId="14" borderId="2" xfId="0" quotePrefix="1" applyFont="1" applyFill="1" applyBorder="1" applyAlignment="1">
      <alignment horizontal="center"/>
    </xf>
    <xf numFmtId="1" fontId="5" fillId="14" borderId="2" xfId="0" quotePrefix="1" applyNumberFormat="1" applyFont="1" applyFill="1" applyBorder="1" applyAlignment="1">
      <alignment horizontal="center"/>
    </xf>
    <xf numFmtId="1" fontId="5" fillId="14" borderId="2" xfId="0" applyNumberFormat="1" applyFont="1" applyFill="1" applyBorder="1" applyAlignment="1">
      <alignment horizontal="center"/>
    </xf>
    <xf numFmtId="165" fontId="10" fillId="14" borderId="2" xfId="1" applyNumberFormat="1" applyFont="1" applyFill="1" applyBorder="1" applyProtection="1">
      <protection locked="0" hidden="1"/>
    </xf>
    <xf numFmtId="0" fontId="25" fillId="2" borderId="0" xfId="0" applyFont="1" applyFill="1" applyAlignment="1">
      <alignment horizontal="right"/>
    </xf>
    <xf numFmtId="0" fontId="21" fillId="2" borderId="0" xfId="0" applyFont="1" applyFill="1" applyProtection="1">
      <protection locked="0" hidden="1"/>
    </xf>
    <xf numFmtId="0" fontId="3" fillId="13" borderId="0" xfId="0" applyFont="1" applyFill="1"/>
    <xf numFmtId="0" fontId="25" fillId="13" borderId="0" xfId="0" applyFont="1" applyFill="1" applyAlignment="1">
      <alignment horizontal="right"/>
    </xf>
    <xf numFmtId="0" fontId="21" fillId="13" borderId="0" xfId="0" applyFont="1" applyFill="1" applyProtection="1">
      <protection locked="0" hidden="1"/>
    </xf>
    <xf numFmtId="16" fontId="22" fillId="13" borderId="2" xfId="0" quotePrefix="1" applyNumberFormat="1" applyFont="1" applyFill="1" applyBorder="1" applyAlignment="1" applyProtection="1">
      <alignment horizontal="center"/>
      <protection locked="0" hidden="1"/>
    </xf>
    <xf numFmtId="0" fontId="5" fillId="13" borderId="0" xfId="0" applyFont="1" applyFill="1"/>
    <xf numFmtId="0" fontId="5" fillId="13" borderId="2" xfId="0" quotePrefix="1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1" fontId="5" fillId="13" borderId="2" xfId="0" quotePrefix="1" applyNumberFormat="1" applyFont="1" applyFill="1" applyBorder="1" applyAlignment="1">
      <alignment horizontal="center"/>
    </xf>
    <xf numFmtId="1" fontId="12" fillId="13" borderId="2" xfId="0" applyNumberFormat="1" applyFont="1" applyFill="1" applyBorder="1" applyAlignment="1">
      <alignment horizontal="center"/>
    </xf>
    <xf numFmtId="165" fontId="10" fillId="13" borderId="2" xfId="1" applyNumberFormat="1" applyFont="1" applyFill="1" applyBorder="1" applyProtection="1">
      <protection locked="0" hidden="1"/>
    </xf>
    <xf numFmtId="16" fontId="22" fillId="13" borderId="2" xfId="0" applyNumberFormat="1" applyFont="1" applyFill="1" applyBorder="1" applyAlignment="1" applyProtection="1">
      <alignment horizontal="center"/>
      <protection locked="0" hidden="1"/>
    </xf>
    <xf numFmtId="165" fontId="10" fillId="0" borderId="1" xfId="1" applyNumberFormat="1" applyFont="1" applyFill="1" applyBorder="1" applyAlignment="1" applyProtection="1">
      <alignment horizontal="right"/>
      <protection locked="0" hidden="1"/>
    </xf>
    <xf numFmtId="167" fontId="26" fillId="0" borderId="0" xfId="0" applyNumberFormat="1" applyFont="1" applyAlignment="1">
      <alignment horizontal="left"/>
    </xf>
    <xf numFmtId="0" fontId="22" fillId="2" borderId="3" xfId="0" applyFont="1" applyFill="1" applyBorder="1" applyAlignment="1" applyProtection="1">
      <alignment horizontal="center"/>
      <protection locked="0" hidden="1"/>
    </xf>
    <xf numFmtId="1" fontId="5" fillId="2" borderId="3" xfId="0" quotePrefix="1" applyNumberFormat="1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" fontId="12" fillId="2" borderId="3" xfId="0" applyNumberFormat="1" applyFont="1" applyFill="1" applyBorder="1" applyAlignment="1">
      <alignment horizontal="center"/>
    </xf>
    <xf numFmtId="165" fontId="10" fillId="2" borderId="3" xfId="1" applyNumberFormat="1" applyFont="1" applyFill="1" applyBorder="1" applyProtection="1">
      <protection locked="0" hidden="1"/>
    </xf>
    <xf numFmtId="1" fontId="12" fillId="0" borderId="0" xfId="0" applyNumberFormat="1" applyFont="1" applyAlignment="1">
      <alignment horizontal="left"/>
    </xf>
    <xf numFmtId="0" fontId="5" fillId="0" borderId="0" xfId="0" quotePrefix="1" applyFont="1"/>
    <xf numFmtId="0" fontId="27" fillId="14" borderId="0" xfId="0" applyFont="1" applyFill="1" applyProtection="1">
      <protection locked="0" hidden="1"/>
    </xf>
    <xf numFmtId="0" fontId="12" fillId="6" borderId="14" xfId="0" applyFont="1" applyFill="1" applyBorder="1" applyAlignment="1">
      <alignment horizontal="center"/>
    </xf>
    <xf numFmtId="0" fontId="12" fillId="14" borderId="0" xfId="0" quotePrefix="1" applyFont="1" applyFill="1" applyAlignment="1">
      <alignment horizontal="right"/>
    </xf>
    <xf numFmtId="16" fontId="2" fillId="14" borderId="2" xfId="0" applyNumberFormat="1" applyFont="1" applyFill="1" applyBorder="1" applyAlignment="1" applyProtection="1">
      <alignment horizontal="center"/>
      <protection locked="0" hidden="1"/>
    </xf>
    <xf numFmtId="0" fontId="12" fillId="14" borderId="2" xfId="0" applyFont="1" applyFill="1" applyBorder="1" applyAlignment="1">
      <alignment horizontal="center"/>
    </xf>
    <xf numFmtId="1" fontId="12" fillId="14" borderId="2" xfId="0" applyNumberFormat="1" applyFont="1" applyFill="1" applyBorder="1" applyAlignment="1">
      <alignment horizontal="center"/>
    </xf>
    <xf numFmtId="2" fontId="5" fillId="14" borderId="2" xfId="0" quotePrefix="1" applyNumberFormat="1" applyFont="1" applyFill="1" applyBorder="1" applyAlignment="1">
      <alignment horizontal="center"/>
    </xf>
    <xf numFmtId="0" fontId="3" fillId="15" borderId="0" xfId="0" applyFont="1" applyFill="1"/>
    <xf numFmtId="0" fontId="5" fillId="15" borderId="0" xfId="0" applyFont="1" applyFill="1" applyProtection="1">
      <protection locked="0" hidden="1"/>
    </xf>
    <xf numFmtId="12" fontId="2" fillId="15" borderId="2" xfId="0" applyNumberFormat="1" applyFont="1" applyFill="1" applyBorder="1" applyAlignment="1" applyProtection="1">
      <alignment horizontal="center"/>
      <protection locked="0" hidden="1"/>
    </xf>
    <xf numFmtId="0" fontId="5" fillId="15" borderId="0" xfId="0" applyFont="1" applyFill="1"/>
    <xf numFmtId="0" fontId="5" fillId="15" borderId="2" xfId="0" quotePrefix="1" applyFont="1" applyFill="1" applyBorder="1" applyAlignment="1">
      <alignment horizontal="center"/>
    </xf>
    <xf numFmtId="0" fontId="12" fillId="15" borderId="2" xfId="0" applyFont="1" applyFill="1" applyBorder="1" applyAlignment="1">
      <alignment horizontal="center"/>
    </xf>
    <xf numFmtId="1" fontId="5" fillId="15" borderId="2" xfId="0" quotePrefix="1" applyNumberFormat="1" applyFont="1" applyFill="1" applyBorder="1" applyAlignment="1">
      <alignment horizontal="center"/>
    </xf>
    <xf numFmtId="1" fontId="12" fillId="15" borderId="2" xfId="0" applyNumberFormat="1" applyFont="1" applyFill="1" applyBorder="1" applyAlignment="1">
      <alignment horizontal="center"/>
    </xf>
    <xf numFmtId="165" fontId="10" fillId="15" borderId="2" xfId="1" applyNumberFormat="1" applyFont="1" applyFill="1" applyBorder="1" applyProtection="1">
      <protection locked="0" hidden="1"/>
    </xf>
    <xf numFmtId="0" fontId="12" fillId="15" borderId="0" xfId="0" applyFont="1" applyFill="1" applyProtection="1">
      <protection locked="0" hidden="1"/>
    </xf>
    <xf numFmtId="165" fontId="12" fillId="0" borderId="3" xfId="0" applyNumberFormat="1" applyFont="1" applyBorder="1" applyProtection="1">
      <protection locked="0" hidden="1"/>
    </xf>
    <xf numFmtId="0" fontId="5" fillId="0" borderId="0" xfId="0" applyFont="1" applyAlignment="1">
      <alignment textRotation="90"/>
    </xf>
    <xf numFmtId="167" fontId="12" fillId="0" borderId="24" xfId="0" applyNumberFormat="1" applyFont="1" applyBorder="1" applyAlignment="1">
      <alignment horizontal="left"/>
    </xf>
    <xf numFmtId="0" fontId="12" fillId="0" borderId="24" xfId="0" applyFont="1" applyBorder="1"/>
    <xf numFmtId="0" fontId="12" fillId="6" borderId="14" xfId="0" quotePrefix="1" applyFont="1" applyFill="1" applyBorder="1" applyAlignment="1">
      <alignment horizontal="center"/>
    </xf>
    <xf numFmtId="0" fontId="28" fillId="2" borderId="0" xfId="0" applyFont="1" applyFill="1" applyAlignment="1">
      <alignment horizontal="left"/>
    </xf>
    <xf numFmtId="16" fontId="12" fillId="6" borderId="14" xfId="0" quotePrefix="1" applyNumberFormat="1" applyFont="1" applyFill="1" applyBorder="1" applyAlignment="1">
      <alignment horizontal="center"/>
    </xf>
    <xf numFmtId="0" fontId="29" fillId="6" borderId="17" xfId="0" applyFont="1" applyFill="1" applyBorder="1"/>
    <xf numFmtId="0" fontId="29" fillId="6" borderId="18" xfId="0" applyFont="1" applyFill="1" applyBorder="1"/>
    <xf numFmtId="0" fontId="29" fillId="6" borderId="19" xfId="0" applyFont="1" applyFill="1" applyBorder="1"/>
    <xf numFmtId="0" fontId="29" fillId="0" borderId="0" xfId="0" applyFont="1"/>
    <xf numFmtId="0" fontId="29" fillId="6" borderId="20" xfId="0" applyFont="1" applyFill="1" applyBorder="1"/>
    <xf numFmtId="0" fontId="29" fillId="6" borderId="0" xfId="0" applyFont="1" applyFill="1"/>
    <xf numFmtId="0" fontId="29" fillId="6" borderId="21" xfId="0" applyFont="1" applyFill="1" applyBorder="1"/>
    <xf numFmtId="0" fontId="32" fillId="6" borderId="20" xfId="0" applyFont="1" applyFill="1" applyBorder="1"/>
    <xf numFmtId="0" fontId="32" fillId="6" borderId="0" xfId="0" applyFont="1" applyFill="1"/>
    <xf numFmtId="0" fontId="32" fillId="6" borderId="21" xfId="0" applyFont="1" applyFill="1" applyBorder="1"/>
    <xf numFmtId="0" fontId="33" fillId="6" borderId="20" xfId="0" applyFont="1" applyFill="1" applyBorder="1"/>
    <xf numFmtId="14" fontId="33" fillId="6" borderId="13" xfId="0" applyNumberFormat="1" applyFont="1" applyFill="1" applyBorder="1" applyProtection="1">
      <protection locked="0" hidden="1"/>
    </xf>
    <xf numFmtId="0" fontId="33" fillId="6" borderId="13" xfId="0" applyFont="1" applyFill="1" applyBorder="1" applyProtection="1">
      <protection locked="0" hidden="1"/>
    </xf>
    <xf numFmtId="0" fontId="33" fillId="6" borderId="13" xfId="0" applyFont="1" applyFill="1" applyBorder="1" applyAlignment="1" applyProtection="1">
      <alignment horizontal="left"/>
      <protection locked="0" hidden="1"/>
    </xf>
    <xf numFmtId="0" fontId="34" fillId="6" borderId="13" xfId="0" applyFont="1" applyFill="1" applyBorder="1" applyAlignment="1">
      <alignment horizontal="left"/>
    </xf>
    <xf numFmtId="0" fontId="34" fillId="6" borderId="0" xfId="0" applyFont="1" applyFill="1" applyAlignment="1">
      <alignment horizontal="left"/>
    </xf>
    <xf numFmtId="0" fontId="33" fillId="6" borderId="0" xfId="0" applyFont="1" applyFill="1" applyAlignment="1">
      <alignment horizontal="left"/>
    </xf>
    <xf numFmtId="0" fontId="36" fillId="6" borderId="20" xfId="0" applyFont="1" applyFill="1" applyBorder="1"/>
    <xf numFmtId="0" fontId="36" fillId="6" borderId="8" xfId="0" applyFont="1" applyFill="1" applyBorder="1" applyAlignment="1" applyProtection="1">
      <alignment horizontal="left"/>
      <protection locked="0" hidden="1"/>
    </xf>
    <xf numFmtId="0" fontId="36" fillId="6" borderId="0" xfId="0" applyFont="1" applyFill="1" applyProtection="1">
      <protection locked="0" hidden="1"/>
    </xf>
    <xf numFmtId="0" fontId="32" fillId="6" borderId="22" xfId="0" applyFont="1" applyFill="1" applyBorder="1"/>
    <xf numFmtId="0" fontId="32" fillId="6" borderId="1" xfId="0" applyFont="1" applyFill="1" applyBorder="1"/>
    <xf numFmtId="0" fontId="32" fillId="6" borderId="23" xfId="0" applyFont="1" applyFill="1" applyBorder="1"/>
    <xf numFmtId="0" fontId="29" fillId="6" borderId="14" xfId="0" applyFont="1" applyFill="1" applyBorder="1"/>
    <xf numFmtId="0" fontId="29" fillId="11" borderId="0" xfId="0" applyFont="1" applyFill="1"/>
    <xf numFmtId="0" fontId="29" fillId="6" borderId="3" xfId="0" applyFont="1" applyFill="1" applyBorder="1"/>
    <xf numFmtId="0" fontId="29" fillId="0" borderId="6" xfId="0" applyFont="1" applyBorder="1"/>
    <xf numFmtId="0" fontId="29" fillId="7" borderId="0" xfId="0" applyFont="1" applyFill="1"/>
    <xf numFmtId="0" fontId="38" fillId="0" borderId="0" xfId="0" applyFont="1"/>
    <xf numFmtId="16" fontId="29" fillId="0" borderId="16" xfId="0" quotePrefix="1" applyNumberFormat="1" applyFont="1" applyBorder="1" applyAlignment="1">
      <alignment horizontal="center"/>
    </xf>
    <xf numFmtId="16" fontId="29" fillId="0" borderId="14" xfId="0" applyNumberFormat="1" applyFont="1" applyBorder="1" applyAlignment="1">
      <alignment horizontal="center"/>
    </xf>
    <xf numFmtId="16" fontId="29" fillId="11" borderId="14" xfId="0" applyNumberFormat="1" applyFont="1" applyFill="1" applyBorder="1" applyAlignment="1">
      <alignment horizontal="center"/>
    </xf>
    <xf numFmtId="12" fontId="29" fillId="0" borderId="14" xfId="0" quotePrefix="1" applyNumberFormat="1" applyFont="1" applyBorder="1" applyAlignment="1">
      <alignment horizontal="center"/>
    </xf>
    <xf numFmtId="16" fontId="29" fillId="0" borderId="15" xfId="0" applyNumberFormat="1" applyFont="1" applyBorder="1" applyAlignment="1">
      <alignment horizontal="center"/>
    </xf>
    <xf numFmtId="0" fontId="29" fillId="11" borderId="6" xfId="0" applyFont="1" applyFill="1" applyBorder="1"/>
    <xf numFmtId="0" fontId="29" fillId="9" borderId="0" xfId="0" applyFont="1" applyFill="1"/>
    <xf numFmtId="0" fontId="29" fillId="0" borderId="3" xfId="0" applyFont="1" applyBorder="1"/>
    <xf numFmtId="16" fontId="35" fillId="6" borderId="14" xfId="0" quotePrefix="1" applyNumberFormat="1" applyFont="1" applyFill="1" applyBorder="1" applyAlignment="1">
      <alignment horizontal="center"/>
    </xf>
    <xf numFmtId="16" fontId="35" fillId="6" borderId="14" xfId="0" applyNumberFormat="1" applyFont="1" applyFill="1" applyBorder="1" applyAlignment="1">
      <alignment horizontal="center"/>
    </xf>
    <xf numFmtId="0" fontId="29" fillId="0" borderId="0" xfId="0" quotePrefix="1" applyFont="1"/>
    <xf numFmtId="0" fontId="35" fillId="6" borderId="14" xfId="0" applyFont="1" applyFill="1" applyBorder="1" applyAlignment="1">
      <alignment horizontal="center"/>
    </xf>
    <xf numFmtId="0" fontId="33" fillId="16" borderId="3" xfId="0" applyFont="1" applyFill="1" applyBorder="1"/>
    <xf numFmtId="0" fontId="29" fillId="16" borderId="3" xfId="0" applyFont="1" applyFill="1" applyBorder="1"/>
    <xf numFmtId="0" fontId="29" fillId="16" borderId="0" xfId="0" applyFont="1" applyFill="1"/>
    <xf numFmtId="0" fontId="35" fillId="6" borderId="3" xfId="0" applyFont="1" applyFill="1" applyBorder="1"/>
    <xf numFmtId="0" fontId="29" fillId="17" borderId="6" xfId="0" applyFont="1" applyFill="1" applyBorder="1"/>
    <xf numFmtId="0" fontId="33" fillId="6" borderId="3" xfId="0" applyFont="1" applyFill="1" applyBorder="1"/>
    <xf numFmtId="0" fontId="29" fillId="0" borderId="0" xfId="0" applyFont="1" applyAlignment="1">
      <alignment horizontal="right"/>
    </xf>
    <xf numFmtId="0" fontId="40" fillId="0" borderId="0" xfId="0" applyFont="1"/>
    <xf numFmtId="0" fontId="40" fillId="0" borderId="0" xfId="0" applyFont="1" applyAlignment="1">
      <alignment horizontal="center"/>
    </xf>
    <xf numFmtId="0" fontId="0" fillId="0" borderId="25" xfId="0" applyBorder="1"/>
    <xf numFmtId="0" fontId="0" fillId="0" borderId="31" xfId="0" applyBorder="1"/>
    <xf numFmtId="0" fontId="0" fillId="0" borderId="12" xfId="0" applyBorder="1"/>
    <xf numFmtId="0" fontId="39" fillId="0" borderId="0" xfId="0" applyFont="1"/>
    <xf numFmtId="0" fontId="40" fillId="0" borderId="0" xfId="0" applyFont="1" applyAlignment="1">
      <alignment horizontal="left"/>
    </xf>
    <xf numFmtId="0" fontId="40" fillId="0" borderId="0" xfId="0" applyFont="1" applyAlignment="1">
      <alignment horizontal="right"/>
    </xf>
    <xf numFmtId="0" fontId="0" fillId="0" borderId="33" xfId="0" applyBorder="1"/>
    <xf numFmtId="2" fontId="40" fillId="0" borderId="0" xfId="0" applyNumberFormat="1" applyFont="1" applyAlignment="1">
      <alignment horizontal="right"/>
    </xf>
    <xf numFmtId="0" fontId="40" fillId="0" borderId="34" xfId="0" applyFont="1" applyBorder="1" applyAlignment="1">
      <alignment horizontal="left"/>
    </xf>
    <xf numFmtId="0" fontId="0" fillId="0" borderId="36" xfId="0" applyBorder="1"/>
    <xf numFmtId="0" fontId="0" fillId="0" borderId="37" xfId="0" applyBorder="1"/>
    <xf numFmtId="0" fontId="40" fillId="0" borderId="0" xfId="0" applyFont="1" applyAlignment="1">
      <alignment horizontal="left" vertical="center"/>
    </xf>
    <xf numFmtId="0" fontId="0" fillId="0" borderId="39" xfId="0" applyBorder="1"/>
    <xf numFmtId="0" fontId="0" fillId="0" borderId="40" xfId="0" applyBorder="1"/>
    <xf numFmtId="0" fontId="39" fillId="0" borderId="0" xfId="0" applyFont="1" applyAlignment="1">
      <alignment horizontal="left" vertical="center"/>
    </xf>
    <xf numFmtId="0" fontId="40" fillId="0" borderId="0" xfId="0" applyFont="1" applyAlignment="1">
      <alignment horizontal="right" vertical="center"/>
    </xf>
    <xf numFmtId="0" fontId="4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0" fillId="0" borderId="0" xfId="0" applyFont="1" applyAlignment="1">
      <alignment horizontal="center" vertical="center"/>
    </xf>
    <xf numFmtId="49" fontId="40" fillId="0" borderId="0" xfId="0" applyNumberFormat="1" applyFont="1" applyAlignment="1">
      <alignment horizontal="center"/>
    </xf>
    <xf numFmtId="168" fontId="0" fillId="0" borderId="40" xfId="0" applyNumberFormat="1" applyBorder="1" applyAlignment="1">
      <alignment horizontal="left"/>
    </xf>
    <xf numFmtId="0" fontId="40" fillId="0" borderId="39" xfId="0" applyFont="1" applyBorder="1"/>
    <xf numFmtId="0" fontId="0" fillId="0" borderId="41" xfId="0" applyBorder="1"/>
    <xf numFmtId="10" fontId="0" fillId="0" borderId="41" xfId="0" applyNumberFormat="1" applyBorder="1"/>
    <xf numFmtId="0" fontId="0" fillId="0" borderId="43" xfId="0" applyBorder="1"/>
    <xf numFmtId="0" fontId="40" fillId="0" borderId="43" xfId="0" applyFont="1" applyBorder="1" applyAlignment="1">
      <alignment horizontal="right" vertical="center"/>
    </xf>
    <xf numFmtId="2" fontId="40" fillId="0" borderId="43" xfId="0" applyNumberFormat="1" applyFont="1" applyBorder="1" applyAlignment="1">
      <alignment horizontal="right"/>
    </xf>
    <xf numFmtId="0" fontId="40" fillId="0" borderId="43" xfId="0" applyFont="1" applyBorder="1"/>
    <xf numFmtId="0" fontId="0" fillId="0" borderId="44" xfId="0" applyBorder="1"/>
    <xf numFmtId="10" fontId="0" fillId="0" borderId="33" xfId="0" applyNumberFormat="1" applyBorder="1"/>
    <xf numFmtId="1" fontId="40" fillId="0" borderId="48" xfId="0" applyNumberFormat="1" applyFont="1" applyBorder="1"/>
    <xf numFmtId="0" fontId="0" fillId="0" borderId="49" xfId="0" applyBorder="1" applyAlignment="1">
      <alignment horizontal="left"/>
    </xf>
    <xf numFmtId="0" fontId="0" fillId="0" borderId="50" xfId="0" applyBorder="1" applyAlignment="1">
      <alignment horizontal="right"/>
    </xf>
    <xf numFmtId="1" fontId="0" fillId="0" borderId="54" xfId="0" applyNumberFormat="1" applyBorder="1"/>
    <xf numFmtId="1" fontId="40" fillId="0" borderId="58" xfId="0" applyNumberFormat="1" applyFont="1" applyBorder="1"/>
    <xf numFmtId="0" fontId="0" fillId="0" borderId="59" xfId="0" applyBorder="1" applyAlignment="1">
      <alignment horizontal="right"/>
    </xf>
    <xf numFmtId="0" fontId="0" fillId="0" borderId="62" xfId="0" applyBorder="1"/>
    <xf numFmtId="10" fontId="0" fillId="0" borderId="40" xfId="0" applyNumberFormat="1" applyBorder="1"/>
    <xf numFmtId="1" fontId="0" fillId="0" borderId="44" xfId="0" applyNumberFormat="1" applyBorder="1"/>
    <xf numFmtId="0" fontId="0" fillId="0" borderId="66" xfId="0" applyBorder="1" applyAlignment="1">
      <alignment horizontal="right"/>
    </xf>
    <xf numFmtId="0" fontId="0" fillId="0" borderId="40" xfId="0" applyBorder="1" applyAlignment="1">
      <alignment horizontal="left"/>
    </xf>
    <xf numFmtId="168" fontId="0" fillId="0" borderId="37" xfId="0" applyNumberFormat="1" applyBorder="1" applyAlignment="1">
      <alignment horizontal="left"/>
    </xf>
    <xf numFmtId="0" fontId="0" fillId="0" borderId="48" xfId="0" applyBorder="1"/>
    <xf numFmtId="168" fontId="0" fillId="0" borderId="41" xfId="0" applyNumberFormat="1" applyBorder="1" applyAlignment="1">
      <alignment horizontal="left"/>
    </xf>
    <xf numFmtId="1" fontId="40" fillId="0" borderId="72" xfId="0" applyNumberFormat="1" applyFont="1" applyBorder="1"/>
    <xf numFmtId="0" fontId="0" fillId="0" borderId="41" xfId="0" quotePrefix="1" applyBorder="1" applyAlignment="1">
      <alignment horizontal="left"/>
    </xf>
    <xf numFmtId="1" fontId="0" fillId="0" borderId="73" xfId="0" applyNumberFormat="1" applyBorder="1"/>
    <xf numFmtId="0" fontId="0" fillId="0" borderId="41" xfId="0" applyBorder="1" applyAlignment="1">
      <alignment horizontal="left"/>
    </xf>
    <xf numFmtId="1" fontId="0" fillId="0" borderId="75" xfId="0" applyNumberFormat="1" applyBorder="1"/>
    <xf numFmtId="0" fontId="0" fillId="0" borderId="41" xfId="0" quotePrefix="1" applyBorder="1"/>
    <xf numFmtId="1" fontId="0" fillId="0" borderId="72" xfId="0" applyNumberFormat="1" applyBorder="1"/>
    <xf numFmtId="1" fontId="1" fillId="0" borderId="75" xfId="0" applyNumberFormat="1" applyFont="1" applyBorder="1"/>
    <xf numFmtId="0" fontId="1" fillId="0" borderId="41" xfId="0" applyFont="1" applyBorder="1"/>
    <xf numFmtId="1" fontId="0" fillId="0" borderId="48" xfId="0" applyNumberFormat="1" applyBorder="1"/>
    <xf numFmtId="1" fontId="40" fillId="0" borderId="62" xfId="0" applyNumberFormat="1" applyFont="1" applyBorder="1"/>
    <xf numFmtId="1" fontId="0" fillId="0" borderId="62" xfId="0" applyNumberFormat="1" applyBorder="1"/>
    <xf numFmtId="1" fontId="0" fillId="0" borderId="58" xfId="0" applyNumberFormat="1" applyBorder="1"/>
    <xf numFmtId="1" fontId="0" fillId="0" borderId="77" xfId="0" applyNumberFormat="1" applyBorder="1"/>
    <xf numFmtId="0" fontId="0" fillId="0" borderId="68" xfId="0" applyBorder="1"/>
    <xf numFmtId="0" fontId="0" fillId="0" borderId="69" xfId="0" applyBorder="1"/>
    <xf numFmtId="0" fontId="0" fillId="0" borderId="78" xfId="0" applyBorder="1"/>
    <xf numFmtId="0" fontId="0" fillId="0" borderId="79" xfId="0" applyBorder="1"/>
    <xf numFmtId="0" fontId="0" fillId="0" borderId="49" xfId="0" quotePrefix="1" applyBorder="1" applyAlignment="1">
      <alignment horizontal="left"/>
    </xf>
    <xf numFmtId="0" fontId="0" fillId="0" borderId="10" xfId="0" applyBorder="1"/>
    <xf numFmtId="0" fontId="43" fillId="0" borderId="80" xfId="0" applyFont="1" applyBorder="1"/>
    <xf numFmtId="0" fontId="43" fillId="0" borderId="11" xfId="0" applyFont="1" applyBorder="1"/>
    <xf numFmtId="0" fontId="0" fillId="0" borderId="11" xfId="0" applyBorder="1"/>
    <xf numFmtId="0" fontId="0" fillId="0" borderId="81" xfId="0" applyBorder="1"/>
    <xf numFmtId="0" fontId="0" fillId="0" borderId="82" xfId="0" applyBorder="1"/>
    <xf numFmtId="0" fontId="0" fillId="0" borderId="77" xfId="0" applyBorder="1"/>
    <xf numFmtId="0" fontId="43" fillId="0" borderId="82" xfId="0" applyFont="1" applyBorder="1"/>
    <xf numFmtId="0" fontId="43" fillId="0" borderId="0" xfId="0" applyFont="1"/>
    <xf numFmtId="0" fontId="0" fillId="0" borderId="51" xfId="0" applyBorder="1"/>
    <xf numFmtId="0" fontId="0" fillId="0" borderId="83" xfId="0" applyBorder="1"/>
    <xf numFmtId="0" fontId="0" fillId="0" borderId="84" xfId="0" applyBorder="1"/>
    <xf numFmtId="0" fontId="0" fillId="0" borderId="70" xfId="0" applyBorder="1"/>
    <xf numFmtId="0" fontId="0" fillId="0" borderId="29" xfId="0" applyBorder="1"/>
    <xf numFmtId="0" fontId="0" fillId="0" borderId="26" xfId="0" applyBorder="1"/>
    <xf numFmtId="0" fontId="0" fillId="0" borderId="86" xfId="0" applyBorder="1" applyAlignment="1">
      <alignment horizontal="right"/>
    </xf>
    <xf numFmtId="0" fontId="0" fillId="0" borderId="3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quotePrefix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59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/>
    <xf numFmtId="0" fontId="0" fillId="0" borderId="88" xfId="0" applyBorder="1"/>
    <xf numFmtId="0" fontId="0" fillId="0" borderId="5" xfId="0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0" fillId="0" borderId="92" xfId="0" applyBorder="1"/>
    <xf numFmtId="17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40" fillId="0" borderId="7" xfId="3" applyFont="1" applyBorder="1"/>
    <xf numFmtId="0" fontId="40" fillId="0" borderId="8" xfId="3" applyFont="1" applyBorder="1"/>
    <xf numFmtId="0" fontId="44" fillId="0" borderId="8" xfId="3" applyBorder="1"/>
    <xf numFmtId="0" fontId="40" fillId="0" borderId="11" xfId="3" applyFont="1" applyBorder="1"/>
    <xf numFmtId="0" fontId="44" fillId="0" borderId="11" xfId="3" applyBorder="1"/>
    <xf numFmtId="0" fontId="40" fillId="0" borderId="80" xfId="3" applyFont="1" applyBorder="1"/>
    <xf numFmtId="0" fontId="44" fillId="0" borderId="81" xfId="3" applyBorder="1" applyAlignment="1">
      <alignment horizontal="left"/>
    </xf>
    <xf numFmtId="0" fontId="40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43" xfId="0" applyBorder="1" applyAlignment="1">
      <alignment horizontal="center"/>
    </xf>
    <xf numFmtId="0" fontId="40" fillId="0" borderId="43" xfId="0" applyFont="1" applyBorder="1" applyAlignment="1">
      <alignment horizontal="center"/>
    </xf>
    <xf numFmtId="0" fontId="41" fillId="0" borderId="84" xfId="0" applyFont="1" applyBorder="1" applyAlignment="1">
      <alignment horizontal="center"/>
    </xf>
    <xf numFmtId="0" fontId="40" fillId="0" borderId="93" xfId="0" applyFont="1" applyBorder="1" applyAlignment="1">
      <alignment horizontal="center"/>
    </xf>
    <xf numFmtId="0" fontId="0" fillId="0" borderId="7" xfId="0" applyBorder="1"/>
    <xf numFmtId="0" fontId="40" fillId="0" borderId="8" xfId="0" applyFont="1" applyBorder="1"/>
    <xf numFmtId="0" fontId="0" fillId="0" borderId="9" xfId="0" applyBorder="1"/>
    <xf numFmtId="0" fontId="45" fillId="0" borderId="11" xfId="3" applyFont="1" applyBorder="1" applyAlignment="1">
      <alignment horizontal="left"/>
    </xf>
    <xf numFmtId="0" fontId="46" fillId="0" borderId="53" xfId="0" applyFont="1" applyBorder="1" applyAlignment="1">
      <alignment horizontal="center"/>
    </xf>
    <xf numFmtId="0" fontId="47" fillId="0" borderId="0" xfId="0" applyFont="1"/>
    <xf numFmtId="0" fontId="1" fillId="0" borderId="11" xfId="3" applyFont="1" applyBorder="1" applyAlignment="1">
      <alignment horizontal="left"/>
    </xf>
    <xf numFmtId="0" fontId="1" fillId="0" borderId="46" xfId="0" applyFont="1" applyBorder="1"/>
    <xf numFmtId="0" fontId="1" fillId="0" borderId="28" xfId="0" applyFont="1" applyBorder="1"/>
    <xf numFmtId="0" fontId="1" fillId="0" borderId="28" xfId="0" applyFont="1" applyBorder="1" applyAlignment="1">
      <alignment horizontal="right" vertical="center"/>
    </xf>
    <xf numFmtId="2" fontId="1" fillId="0" borderId="28" xfId="0" applyNumberFormat="1" applyFont="1" applyBorder="1" applyAlignment="1">
      <alignment horizontal="right"/>
    </xf>
    <xf numFmtId="0" fontId="1" fillId="0" borderId="47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52" xfId="0" applyFont="1" applyBorder="1" applyAlignment="1">
      <alignment horizontal="right" vertical="center"/>
    </xf>
    <xf numFmtId="2" fontId="1" fillId="0" borderId="52" xfId="0" applyNumberFormat="1" applyFont="1" applyBorder="1" applyAlignment="1">
      <alignment horizontal="right"/>
    </xf>
    <xf numFmtId="0" fontId="1" fillId="0" borderId="53" xfId="0" applyFont="1" applyBorder="1"/>
    <xf numFmtId="0" fontId="1" fillId="0" borderId="56" xfId="0" applyFont="1" applyBorder="1"/>
    <xf numFmtId="0" fontId="1" fillId="0" borderId="57" xfId="0" applyFont="1" applyBorder="1"/>
    <xf numFmtId="0" fontId="1" fillId="0" borderId="60" xfId="0" applyFont="1" applyBorder="1"/>
    <xf numFmtId="0" fontId="1" fillId="0" borderId="25" xfId="0" applyFont="1" applyBorder="1"/>
    <xf numFmtId="0" fontId="1" fillId="0" borderId="25" xfId="0" applyFont="1" applyBorder="1" applyAlignment="1">
      <alignment horizontal="right" vertical="center"/>
    </xf>
    <xf numFmtId="0" fontId="1" fillId="0" borderId="12" xfId="0" applyFont="1" applyBorder="1"/>
    <xf numFmtId="0" fontId="1" fillId="0" borderId="61" xfId="0" applyFont="1" applyBorder="1"/>
    <xf numFmtId="0" fontId="1" fillId="0" borderId="63" xfId="0" applyFont="1" applyBorder="1"/>
    <xf numFmtId="0" fontId="1" fillId="0" borderId="64" xfId="0" applyFont="1" applyBorder="1"/>
    <xf numFmtId="0" fontId="1" fillId="0" borderId="64" xfId="0" applyFont="1" applyBorder="1" applyAlignment="1">
      <alignment horizontal="right" vertical="center"/>
    </xf>
    <xf numFmtId="0" fontId="1" fillId="0" borderId="65" xfId="0" applyFont="1" applyBorder="1"/>
    <xf numFmtId="0" fontId="1" fillId="0" borderId="33" xfId="0" applyFont="1" applyBorder="1"/>
    <xf numFmtId="0" fontId="1" fillId="0" borderId="67" xfId="0" applyFont="1" applyBorder="1"/>
    <xf numFmtId="0" fontId="1" fillId="0" borderId="68" xfId="0" applyFont="1" applyBorder="1"/>
    <xf numFmtId="0" fontId="1" fillId="0" borderId="69" xfId="0" applyFont="1" applyBorder="1"/>
    <xf numFmtId="0" fontId="1" fillId="0" borderId="69" xfId="0" applyFont="1" applyBorder="1" applyAlignment="1">
      <alignment horizontal="right" vertical="center"/>
    </xf>
    <xf numFmtId="0" fontId="1" fillId="0" borderId="70" xfId="0" applyFont="1" applyBorder="1"/>
    <xf numFmtId="0" fontId="1" fillId="0" borderId="32" xfId="0" applyFont="1" applyBorder="1"/>
    <xf numFmtId="0" fontId="1" fillId="0" borderId="43" xfId="0" applyFont="1" applyBorder="1"/>
    <xf numFmtId="0" fontId="1" fillId="0" borderId="71" xfId="0" applyFont="1" applyBorder="1"/>
    <xf numFmtId="0" fontId="1" fillId="0" borderId="29" xfId="0" applyFont="1" applyBorder="1"/>
    <xf numFmtId="0" fontId="1" fillId="0" borderId="27" xfId="0" applyFont="1" applyBorder="1"/>
    <xf numFmtId="0" fontId="1" fillId="0" borderId="74" xfId="0" applyFont="1" applyBorder="1"/>
    <xf numFmtId="0" fontId="1" fillId="0" borderId="31" xfId="0" applyFont="1" applyBorder="1"/>
    <xf numFmtId="0" fontId="1" fillId="0" borderId="26" xfId="0" applyFont="1" applyBorder="1"/>
    <xf numFmtId="0" fontId="1" fillId="0" borderId="76" xfId="0" applyFont="1" applyBorder="1"/>
    <xf numFmtId="0" fontId="40" fillId="0" borderId="7" xfId="0" applyFont="1" applyBorder="1"/>
    <xf numFmtId="0" fontId="1" fillId="0" borderId="8" xfId="0" applyFont="1" applyBorder="1"/>
    <xf numFmtId="0" fontId="40" fillId="0" borderId="9" xfId="3" applyFont="1" applyBorder="1"/>
    <xf numFmtId="0" fontId="1" fillId="0" borderId="41" xfId="0" quotePrefix="1" applyFont="1" applyBorder="1" applyAlignment="1">
      <alignment horizontal="left"/>
    </xf>
    <xf numFmtId="0" fontId="45" fillId="0" borderId="8" xfId="3" applyFont="1" applyBorder="1"/>
    <xf numFmtId="0" fontId="1" fillId="0" borderId="94" xfId="0" applyFont="1" applyBorder="1"/>
    <xf numFmtId="0" fontId="0" fillId="0" borderId="40" xfId="0" quotePrefix="1" applyBorder="1" applyAlignment="1">
      <alignment horizontal="left"/>
    </xf>
    <xf numFmtId="0" fontId="1" fillId="0" borderId="95" xfId="0" applyFont="1" applyBorder="1"/>
    <xf numFmtId="0" fontId="0" fillId="0" borderId="27" xfId="0" applyBorder="1"/>
    <xf numFmtId="1" fontId="1" fillId="0" borderId="28" xfId="0" applyNumberFormat="1" applyFont="1" applyBorder="1" applyAlignment="1">
      <alignment horizontal="right"/>
    </xf>
    <xf numFmtId="1" fontId="1" fillId="0" borderId="25" xfId="0" applyNumberFormat="1" applyFont="1" applyBorder="1" applyAlignment="1">
      <alignment horizontal="right"/>
    </xf>
    <xf numFmtId="1" fontId="1" fillId="0" borderId="64" xfId="0" applyNumberFormat="1" applyFont="1" applyBorder="1" applyAlignment="1">
      <alignment horizontal="right"/>
    </xf>
    <xf numFmtId="1" fontId="1" fillId="0" borderId="69" xfId="0" applyNumberFormat="1" applyFont="1" applyBorder="1" applyAlignment="1">
      <alignment horizontal="right"/>
    </xf>
    <xf numFmtId="1" fontId="1" fillId="0" borderId="25" xfId="0" applyNumberFormat="1" applyFont="1" applyBorder="1"/>
    <xf numFmtId="1" fontId="1" fillId="0" borderId="64" xfId="0" applyNumberFormat="1" applyFont="1" applyBorder="1"/>
    <xf numFmtId="1" fontId="1" fillId="0" borderId="28" xfId="0" applyNumberFormat="1" applyFont="1" applyBorder="1"/>
    <xf numFmtId="1" fontId="1" fillId="0" borderId="52" xfId="0" applyNumberFormat="1" applyFont="1" applyBorder="1"/>
    <xf numFmtId="0" fontId="1" fillId="0" borderId="85" xfId="0" applyFont="1" applyBorder="1"/>
    <xf numFmtId="0" fontId="0" fillId="0" borderId="58" xfId="0" applyBorder="1"/>
    <xf numFmtId="10" fontId="0" fillId="0" borderId="57" xfId="0" applyNumberFormat="1" applyBorder="1"/>
    <xf numFmtId="1" fontId="1" fillId="0" borderId="27" xfId="0" applyNumberFormat="1" applyFont="1" applyBorder="1"/>
    <xf numFmtId="1" fontId="40" fillId="0" borderId="39" xfId="0" applyNumberFormat="1" applyFont="1" applyBorder="1"/>
    <xf numFmtId="171" fontId="39" fillId="0" borderId="9" xfId="3" applyNumberFormat="1" applyFont="1" applyBorder="1" applyAlignment="1">
      <alignment horizontal="left"/>
    </xf>
    <xf numFmtId="0" fontId="1" fillId="0" borderId="8" xfId="3" applyFont="1" applyBorder="1"/>
    <xf numFmtId="0" fontId="1" fillId="0" borderId="9" xfId="3" applyFont="1" applyBorder="1"/>
    <xf numFmtId="0" fontId="45" fillId="0" borderId="11" xfId="0" applyFont="1" applyBorder="1"/>
    <xf numFmtId="0" fontId="6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69" fontId="12" fillId="0" borderId="0" xfId="0" applyNumberFormat="1" applyFont="1" applyAlignment="1">
      <alignment horizontal="center"/>
    </xf>
    <xf numFmtId="0" fontId="12" fillId="0" borderId="3" xfId="0" applyFont="1" applyBorder="1" applyAlignment="1" applyProtection="1">
      <alignment horizontal="center"/>
      <protection locked="0" hidden="1"/>
    </xf>
    <xf numFmtId="169" fontId="12" fillId="0" borderId="5" xfId="0" applyNumberFormat="1" applyFont="1" applyBorder="1" applyAlignment="1">
      <alignment horizontal="center"/>
    </xf>
    <xf numFmtId="167" fontId="5" fillId="0" borderId="1" xfId="0" quotePrefix="1" applyNumberFormat="1" applyFont="1" applyBorder="1" applyAlignment="1">
      <alignment horizontal="center"/>
    </xf>
    <xf numFmtId="0" fontId="23" fillId="0" borderId="0" xfId="0" applyFont="1" applyAlignment="1">
      <alignment horizontal="center" textRotation="90"/>
    </xf>
    <xf numFmtId="0" fontId="30" fillId="6" borderId="20" xfId="0" applyFont="1" applyFill="1" applyBorder="1" applyAlignment="1">
      <alignment horizontal="center"/>
    </xf>
    <xf numFmtId="0" fontId="30" fillId="6" borderId="0" xfId="0" applyFont="1" applyFill="1" applyAlignment="1">
      <alignment horizontal="center"/>
    </xf>
    <xf numFmtId="0" fontId="30" fillId="6" borderId="21" xfId="0" applyFont="1" applyFill="1" applyBorder="1" applyAlignment="1">
      <alignment horizontal="center"/>
    </xf>
    <xf numFmtId="0" fontId="31" fillId="6" borderId="20" xfId="0" applyFont="1" applyFill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31" fillId="6" borderId="21" xfId="0" applyFont="1" applyFill="1" applyBorder="1" applyAlignment="1">
      <alignment horizontal="center"/>
    </xf>
    <xf numFmtId="166" fontId="37" fillId="6" borderId="0" xfId="0" applyNumberFormat="1" applyFont="1" applyFill="1" applyAlignment="1" applyProtection="1">
      <alignment horizontal="center"/>
      <protection locked="0" hidden="1"/>
    </xf>
    <xf numFmtId="166" fontId="37" fillId="6" borderId="21" xfId="0" applyNumberFormat="1" applyFont="1" applyFill="1" applyBorder="1" applyAlignment="1" applyProtection="1">
      <alignment horizontal="center"/>
      <protection locked="0" hidden="1"/>
    </xf>
    <xf numFmtId="0" fontId="19" fillId="6" borderId="20" xfId="0" applyFont="1" applyFill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6" borderId="21" xfId="0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9" fillId="6" borderId="21" xfId="0" applyFont="1" applyFill="1" applyBorder="1" applyAlignment="1">
      <alignment horizontal="center"/>
    </xf>
    <xf numFmtId="166" fontId="10" fillId="6" borderId="8" xfId="0" applyNumberFormat="1" applyFont="1" applyFill="1" applyBorder="1" applyAlignment="1" applyProtection="1">
      <alignment horizontal="center"/>
      <protection locked="0" hidden="1"/>
    </xf>
    <xf numFmtId="167" fontId="10" fillId="6" borderId="13" xfId="0" applyNumberFormat="1" applyFont="1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87" xfId="0" applyFont="1" applyBorder="1"/>
    <xf numFmtId="0" fontId="0" fillId="0" borderId="88" xfId="0" applyBorder="1"/>
    <xf numFmtId="0" fontId="1" fillId="0" borderId="85" xfId="0" applyFont="1" applyBorder="1"/>
    <xf numFmtId="0" fontId="0" fillId="0" borderId="3" xfId="0" applyBorder="1"/>
    <xf numFmtId="0" fontId="0" fillId="0" borderId="0" xfId="0"/>
    <xf numFmtId="0" fontId="1" fillId="0" borderId="8" xfId="3" applyFont="1" applyBorder="1" applyAlignment="1">
      <alignment horizontal="left"/>
    </xf>
    <xf numFmtId="0" fontId="44" fillId="0" borderId="8" xfId="3" applyBorder="1" applyAlignment="1">
      <alignment horizontal="left"/>
    </xf>
    <xf numFmtId="0" fontId="44" fillId="0" borderId="9" xfId="3" applyBorder="1" applyAlignment="1">
      <alignment horizontal="left"/>
    </xf>
    <xf numFmtId="0" fontId="1" fillId="0" borderId="8" xfId="0" applyFont="1" applyBorder="1"/>
    <xf numFmtId="0" fontId="4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3" applyFont="1"/>
    <xf numFmtId="14" fontId="39" fillId="0" borderId="8" xfId="3" quotePrefix="1" applyNumberFormat="1" applyFont="1" applyBorder="1" applyAlignment="1">
      <alignment horizontal="center"/>
    </xf>
    <xf numFmtId="0" fontId="39" fillId="0" borderId="8" xfId="3" quotePrefix="1" applyFont="1" applyBorder="1" applyAlignment="1">
      <alignment horizontal="center"/>
    </xf>
  </cellXfs>
  <cellStyles count="4">
    <cellStyle name="Comma" xfId="1" builtinId="3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9" defaultPivotStyle="PivotStyleLight16"/>
  <colors>
    <mruColors>
      <color rgb="FF8E3432"/>
      <color rgb="FFC1524F"/>
      <color rgb="FFF68295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19</xdr:row>
      <xdr:rowOff>47625</xdr:rowOff>
    </xdr:from>
    <xdr:to>
      <xdr:col>3</xdr:col>
      <xdr:colOff>885825</xdr:colOff>
      <xdr:row>30</xdr:row>
      <xdr:rowOff>57150</xdr:rowOff>
    </xdr:to>
    <xdr:sp macro="" textlink="">
      <xdr:nvSpPr>
        <xdr:cNvPr id="1025" name="Oval 1">
          <a:extLst>
            <a:ext uri="{FF2B5EF4-FFF2-40B4-BE49-F238E27FC236}">
              <a16:creationId xmlns:a16="http://schemas.microsoft.com/office/drawing/2014/main" id="{00000000-0008-0000-0500-000001040000}"/>
            </a:ext>
          </a:extLst>
        </xdr:cNvPr>
        <xdr:cNvSpPr>
          <a:spLocks noChangeArrowheads="1"/>
        </xdr:cNvSpPr>
      </xdr:nvSpPr>
      <xdr:spPr bwMode="auto">
        <a:xfrm>
          <a:off x="2505075" y="2914650"/>
          <a:ext cx="714375" cy="2762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333375</xdr:colOff>
      <xdr:row>34</xdr:row>
      <xdr:rowOff>47625</xdr:rowOff>
    </xdr:from>
    <xdr:to>
      <xdr:col>4</xdr:col>
      <xdr:colOff>19050</xdr:colOff>
      <xdr:row>35</xdr:row>
      <xdr:rowOff>57150</xdr:rowOff>
    </xdr:to>
    <xdr:sp macro="" textlink="">
      <xdr:nvSpPr>
        <xdr:cNvPr id="1026" name="Oval 2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SpPr>
          <a:spLocks noChangeArrowheads="1"/>
        </xdr:cNvSpPr>
      </xdr:nvSpPr>
      <xdr:spPr bwMode="auto">
        <a:xfrm>
          <a:off x="2667000" y="4248150"/>
          <a:ext cx="723900" cy="2762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ngies\Local%20Settings\Temporary%20Internet%20Files\Content.Outlook\SU6PDDWJ\PUBLIC\HERRING%20&amp;%20MACK%20DEPT\REPORTS\2009\PRODUCTION%20REPORT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  <sheetName val="mack mar 30"/>
      <sheetName val="MACK"/>
      <sheetName val="HERRING"/>
      <sheetName val="CONNORS"/>
      <sheetName val="BLANK"/>
      <sheetName val="PRODUCTION REPORT"/>
    </sheetNames>
    <sheetDataSet>
      <sheetData sheetId="0"/>
      <sheetData sheetId="1"/>
      <sheetData sheetId="2"/>
      <sheetData sheetId="3">
        <row r="7">
          <cell r="B7" t="str">
            <v>SEA LIFE FISHERIES DIVISION</v>
          </cell>
        </row>
        <row r="8">
          <cell r="B8">
            <v>3341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3"/>
  <sheetViews>
    <sheetView workbookViewId="0">
      <selection activeCell="D33" sqref="D33"/>
    </sheetView>
  </sheetViews>
  <sheetFormatPr defaultColWidth="9.140625" defaultRowHeight="12.75"/>
  <cols>
    <col min="1" max="1" width="9.140625" style="1" customWidth="1"/>
    <col min="2" max="2" width="9.28515625" style="1" customWidth="1"/>
    <col min="3" max="3" width="8.85546875" style="1" customWidth="1"/>
    <col min="4" max="4" width="3.5703125" style="1" customWidth="1"/>
    <col min="5" max="5" width="16.5703125" style="1" customWidth="1"/>
    <col min="6" max="6" width="3" style="1" customWidth="1"/>
    <col min="7" max="7" width="17.28515625" style="1" customWidth="1"/>
    <col min="8" max="8" width="23.5703125" style="1" customWidth="1"/>
    <col min="9" max="9" width="5.7109375" style="1" customWidth="1"/>
    <col min="10" max="16384" width="9.140625" style="1"/>
  </cols>
  <sheetData>
    <row r="1" spans="1:10" ht="20.25">
      <c r="A1" s="501" t="s">
        <v>0</v>
      </c>
      <c r="B1" s="501"/>
      <c r="C1" s="501"/>
      <c r="D1" s="501"/>
      <c r="E1" s="501"/>
      <c r="F1" s="501"/>
      <c r="G1" s="501"/>
      <c r="H1" s="501"/>
      <c r="I1" s="34"/>
    </row>
    <row r="2" spans="1:10" ht="18">
      <c r="A2" s="500" t="s">
        <v>37</v>
      </c>
      <c r="B2" s="500"/>
      <c r="C2" s="500"/>
      <c r="D2" s="500"/>
      <c r="E2" s="500"/>
      <c r="F2" s="500"/>
      <c r="G2" s="500"/>
      <c r="H2" s="500"/>
      <c r="I2" s="40"/>
    </row>
    <row r="3" spans="1:10" ht="15.75">
      <c r="A3" s="502" t="s">
        <v>1</v>
      </c>
      <c r="B3" s="502"/>
      <c r="C3" s="502"/>
      <c r="D3" s="502"/>
      <c r="E3" s="502"/>
      <c r="F3" s="502"/>
      <c r="G3" s="502"/>
      <c r="H3" s="502"/>
      <c r="I3" s="41"/>
    </row>
    <row r="4" spans="1:10" ht="19.5" customHeight="1">
      <c r="G4" s="12"/>
    </row>
    <row r="5" spans="1:10" ht="14.25">
      <c r="A5" s="2"/>
      <c r="B5" s="2"/>
      <c r="C5" s="2"/>
      <c r="D5" s="2"/>
      <c r="E5" s="2"/>
      <c r="F5" s="2"/>
      <c r="G5" s="2"/>
      <c r="H5" s="2"/>
      <c r="I5" s="2"/>
    </row>
    <row r="6" spans="1:10" ht="15.75">
      <c r="A6" s="9" t="s">
        <v>22</v>
      </c>
      <c r="B6" s="13" t="s">
        <v>24</v>
      </c>
      <c r="C6" s="14"/>
      <c r="D6" s="14"/>
      <c r="E6" s="15"/>
      <c r="F6" s="7"/>
      <c r="G6" s="11" t="s">
        <v>21</v>
      </c>
      <c r="H6" s="14" t="s">
        <v>11</v>
      </c>
      <c r="I6" s="20"/>
      <c r="J6" s="2"/>
    </row>
    <row r="7" spans="1:10" ht="15.75">
      <c r="A7" s="10" t="s">
        <v>23</v>
      </c>
      <c r="B7" s="16">
        <v>3341</v>
      </c>
      <c r="C7" s="17"/>
      <c r="D7" s="18"/>
      <c r="E7" s="19"/>
      <c r="F7" s="5"/>
      <c r="G7" s="9" t="s">
        <v>2</v>
      </c>
      <c r="H7" s="29">
        <v>38579</v>
      </c>
      <c r="I7" s="14"/>
      <c r="J7" s="2"/>
    </row>
    <row r="8" spans="1:10" ht="21" customHeight="1" thickBot="1">
      <c r="A8" s="3"/>
      <c r="B8" s="3"/>
      <c r="C8" s="3"/>
      <c r="D8" s="3"/>
      <c r="E8" s="3"/>
      <c r="F8" s="3"/>
      <c r="G8" s="3"/>
      <c r="H8" s="3"/>
      <c r="I8" s="3"/>
      <c r="J8" s="2"/>
    </row>
    <row r="9" spans="1:10" ht="15" thickTop="1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4.25">
      <c r="A10" s="499" t="s">
        <v>3</v>
      </c>
      <c r="B10" s="499"/>
      <c r="C10" s="2"/>
      <c r="D10" s="2"/>
      <c r="E10" s="4" t="s">
        <v>9</v>
      </c>
      <c r="F10" s="4"/>
      <c r="G10" s="2"/>
      <c r="H10" s="4" t="s">
        <v>10</v>
      </c>
      <c r="I10" s="2"/>
      <c r="J10" s="2"/>
    </row>
    <row r="11" spans="1:10" ht="9" customHeight="1">
      <c r="A11" s="2"/>
      <c r="B11" s="2"/>
      <c r="C11" s="2"/>
      <c r="D11" s="2"/>
      <c r="E11" s="2"/>
      <c r="F11" s="2"/>
      <c r="G11" s="2"/>
      <c r="H11" s="33"/>
      <c r="I11" s="2"/>
      <c r="J11" s="2"/>
    </row>
    <row r="12" spans="1:10" ht="16.5" customHeight="1">
      <c r="A12" s="5" t="s">
        <v>4</v>
      </c>
      <c r="B12" s="5"/>
      <c r="C12" s="22"/>
      <c r="D12" s="22"/>
      <c r="E12" s="23" t="s">
        <v>36</v>
      </c>
      <c r="F12" s="8"/>
      <c r="G12" s="2"/>
      <c r="H12" s="30">
        <f>C12*40</f>
        <v>0</v>
      </c>
      <c r="I12" s="2"/>
      <c r="J12" s="2"/>
    </row>
    <row r="13" spans="1:10" ht="16.5" customHeight="1">
      <c r="A13" s="5" t="s">
        <v>4</v>
      </c>
      <c r="B13" s="5"/>
      <c r="C13" s="22"/>
      <c r="D13" s="22"/>
      <c r="E13" s="23" t="s">
        <v>47</v>
      </c>
      <c r="F13" s="8"/>
      <c r="G13" s="2"/>
      <c r="H13" s="30">
        <f>C13*40</f>
        <v>0</v>
      </c>
      <c r="I13" s="2"/>
      <c r="J13" s="2"/>
    </row>
    <row r="14" spans="1:10" ht="16.5" customHeight="1">
      <c r="A14" s="5" t="s">
        <v>4</v>
      </c>
      <c r="B14" s="5"/>
      <c r="C14" s="22"/>
      <c r="D14" s="22"/>
      <c r="E14" s="23"/>
      <c r="F14" s="8"/>
      <c r="G14" s="2"/>
      <c r="H14" s="30">
        <f>C14*40</f>
        <v>0</v>
      </c>
      <c r="I14" s="2"/>
      <c r="J14" s="2"/>
    </row>
    <row r="15" spans="1:10" ht="16.5" customHeight="1">
      <c r="A15" s="5" t="s">
        <v>4</v>
      </c>
      <c r="B15" s="5"/>
      <c r="C15" s="22"/>
      <c r="D15" s="22"/>
      <c r="E15" s="23"/>
      <c r="F15" s="8"/>
      <c r="G15" s="2"/>
      <c r="H15" s="30"/>
      <c r="I15" s="2"/>
      <c r="J15" s="2"/>
    </row>
    <row r="16" spans="1:10" ht="16.5" customHeight="1">
      <c r="A16" s="5" t="s">
        <v>4</v>
      </c>
      <c r="B16" s="5"/>
      <c r="C16" s="48">
        <v>2147</v>
      </c>
      <c r="D16" s="48" t="s">
        <v>18</v>
      </c>
      <c r="E16" s="49" t="s">
        <v>29</v>
      </c>
      <c r="F16" s="46"/>
      <c r="G16" s="46"/>
      <c r="H16" s="47">
        <f>C16*40</f>
        <v>85880</v>
      </c>
      <c r="I16" s="2"/>
      <c r="J16" s="2"/>
    </row>
    <row r="17" spans="1:10" ht="16.5" customHeight="1">
      <c r="A17" s="5" t="s">
        <v>4</v>
      </c>
      <c r="B17" s="5"/>
      <c r="C17" s="22"/>
      <c r="D17" s="22"/>
      <c r="E17" s="23"/>
      <c r="F17" s="2"/>
      <c r="G17" s="2"/>
      <c r="H17" s="30"/>
      <c r="I17" s="2"/>
      <c r="J17" s="2"/>
    </row>
    <row r="18" spans="1:10" ht="16.5" customHeight="1">
      <c r="A18" s="5" t="s">
        <v>32</v>
      </c>
      <c r="B18" s="5"/>
      <c r="C18" s="22"/>
      <c r="D18" s="22"/>
      <c r="E18" s="23"/>
      <c r="F18" s="2"/>
      <c r="G18" s="2"/>
      <c r="H18" s="30">
        <f>C18*33</f>
        <v>0</v>
      </c>
      <c r="I18" s="2"/>
      <c r="J18" s="2"/>
    </row>
    <row r="19" spans="1:10" ht="16.5" customHeight="1">
      <c r="A19" s="5" t="s">
        <v>16</v>
      </c>
      <c r="B19" s="5"/>
      <c r="C19" s="22"/>
      <c r="D19" s="22"/>
      <c r="E19" s="23"/>
      <c r="F19" s="2"/>
      <c r="G19" s="2"/>
      <c r="H19" s="30">
        <f>33*C19</f>
        <v>0</v>
      </c>
      <c r="I19" s="2"/>
      <c r="J19" s="2"/>
    </row>
    <row r="20" spans="1:10" ht="16.5" customHeight="1">
      <c r="A20" s="5" t="s">
        <v>16</v>
      </c>
      <c r="B20" s="5"/>
      <c r="C20" s="22"/>
      <c r="D20" s="22"/>
      <c r="E20" s="23"/>
      <c r="F20" s="2"/>
      <c r="G20" s="2"/>
      <c r="H20" s="30">
        <f>33*C20</f>
        <v>0</v>
      </c>
      <c r="I20" s="2"/>
      <c r="J20" s="2"/>
    </row>
    <row r="21" spans="1:10" ht="16.5" customHeight="1">
      <c r="A21" s="5" t="s">
        <v>15</v>
      </c>
      <c r="B21" s="5"/>
      <c r="C21" s="22"/>
      <c r="D21" s="22"/>
      <c r="E21" s="23"/>
      <c r="F21" s="2"/>
      <c r="G21" s="2"/>
      <c r="H21" s="30">
        <f>35*C21</f>
        <v>0</v>
      </c>
      <c r="I21" s="2"/>
      <c r="J21" s="2"/>
    </row>
    <row r="22" spans="1:10" ht="16.5" customHeight="1">
      <c r="A22" s="5" t="s">
        <v>17</v>
      </c>
      <c r="B22" s="5"/>
      <c r="C22" s="22"/>
      <c r="D22" s="22"/>
      <c r="E22" s="26"/>
      <c r="F22" s="37"/>
      <c r="G22" s="2"/>
      <c r="H22" s="30">
        <f>C22*40</f>
        <v>0</v>
      </c>
      <c r="I22" s="2"/>
      <c r="J22" s="2"/>
    </row>
    <row r="23" spans="1:10" ht="16.5" customHeight="1">
      <c r="A23" s="5" t="s">
        <v>17</v>
      </c>
      <c r="B23" s="5"/>
      <c r="C23" s="22"/>
      <c r="D23" s="22"/>
      <c r="E23" s="26"/>
      <c r="F23" s="2"/>
      <c r="G23" s="2"/>
      <c r="H23" s="30">
        <f>40*C23</f>
        <v>0</v>
      </c>
      <c r="I23" s="2"/>
      <c r="J23" s="2"/>
    </row>
    <row r="24" spans="1:10" ht="16.5" customHeight="1">
      <c r="A24" s="5" t="s">
        <v>17</v>
      </c>
      <c r="B24" s="5"/>
      <c r="C24" s="22"/>
      <c r="D24" s="22"/>
      <c r="E24" s="26"/>
      <c r="F24" s="2"/>
      <c r="G24" s="2"/>
      <c r="H24" s="30"/>
      <c r="I24" s="2"/>
      <c r="J24" s="2"/>
    </row>
    <row r="25" spans="1:10" ht="16.5" customHeight="1">
      <c r="A25" s="5" t="s">
        <v>17</v>
      </c>
      <c r="B25" s="5"/>
      <c r="C25" s="22"/>
      <c r="D25" s="22"/>
      <c r="E25" s="23"/>
      <c r="F25" s="2"/>
      <c r="G25" s="2"/>
      <c r="H25" s="30"/>
      <c r="I25" s="2"/>
      <c r="J25" s="2"/>
    </row>
    <row r="26" spans="1:10" ht="16.5" customHeight="1">
      <c r="A26" s="5" t="s">
        <v>34</v>
      </c>
      <c r="B26" s="5"/>
      <c r="C26" s="48">
        <v>143</v>
      </c>
      <c r="D26" s="48" t="s">
        <v>18</v>
      </c>
      <c r="E26" s="50">
        <v>3.25</v>
      </c>
      <c r="F26" s="46"/>
      <c r="G26" s="46"/>
      <c r="H26" s="47">
        <f>C26*40</f>
        <v>5720</v>
      </c>
      <c r="I26" s="2"/>
      <c r="J26" s="2"/>
    </row>
    <row r="27" spans="1:10" ht="16.5" customHeight="1">
      <c r="A27" s="5" t="s">
        <v>34</v>
      </c>
      <c r="B27" s="5"/>
      <c r="C27" s="22"/>
      <c r="D27" s="22"/>
      <c r="E27" s="38"/>
      <c r="F27" s="2"/>
      <c r="G27" s="2"/>
      <c r="H27" s="30">
        <f>C27*40</f>
        <v>0</v>
      </c>
      <c r="I27" s="2"/>
      <c r="J27" s="2"/>
    </row>
    <row r="28" spans="1:10" ht="16.5" customHeight="1">
      <c r="A28" s="5" t="s">
        <v>5</v>
      </c>
      <c r="B28" s="5"/>
      <c r="C28" s="22"/>
      <c r="D28" s="22"/>
      <c r="E28" s="23"/>
      <c r="F28" s="2"/>
      <c r="G28" s="2"/>
      <c r="H28" s="30">
        <f>C28*40</f>
        <v>0</v>
      </c>
      <c r="I28" s="2"/>
      <c r="J28" s="2"/>
    </row>
    <row r="29" spans="1:10" ht="16.5" customHeight="1">
      <c r="A29" s="5" t="s">
        <v>5</v>
      </c>
      <c r="B29" s="5"/>
      <c r="C29" s="22"/>
      <c r="D29" s="22"/>
      <c r="E29" s="27"/>
      <c r="F29" s="2"/>
      <c r="G29" s="2"/>
      <c r="H29" s="30"/>
      <c r="I29" s="2"/>
      <c r="J29" s="2"/>
    </row>
    <row r="30" spans="1:10" ht="16.5" customHeight="1">
      <c r="A30" s="5" t="s">
        <v>14</v>
      </c>
      <c r="B30" s="5"/>
      <c r="C30" s="22"/>
      <c r="D30" s="22"/>
      <c r="E30" s="23"/>
      <c r="F30" s="2"/>
      <c r="G30" s="2"/>
      <c r="H30" s="30">
        <f>C30*20</f>
        <v>0</v>
      </c>
      <c r="I30" s="2"/>
      <c r="J30" s="2"/>
    </row>
    <row r="31" spans="1:10" ht="16.5" customHeight="1">
      <c r="A31" s="5" t="s">
        <v>14</v>
      </c>
      <c r="B31" s="5"/>
      <c r="C31" s="22"/>
      <c r="D31" s="22"/>
      <c r="E31" s="23"/>
      <c r="F31" s="2"/>
      <c r="G31" s="2"/>
      <c r="H31" s="30">
        <f>C31*20</f>
        <v>0</v>
      </c>
      <c r="I31" s="2"/>
      <c r="J31" s="2"/>
    </row>
    <row r="32" spans="1:10" ht="16.5" customHeight="1">
      <c r="A32" s="5" t="s">
        <v>6</v>
      </c>
      <c r="B32" s="5"/>
      <c r="C32" s="22"/>
      <c r="D32" s="22"/>
      <c r="E32" s="23"/>
      <c r="F32" s="2"/>
      <c r="G32" s="2"/>
      <c r="H32" s="30"/>
      <c r="I32" s="2"/>
      <c r="J32" s="2"/>
    </row>
    <row r="33" spans="1:10" ht="16.5" customHeight="1">
      <c r="A33" s="5" t="s">
        <v>12</v>
      </c>
      <c r="B33" s="5"/>
      <c r="C33" s="22"/>
      <c r="D33" s="22"/>
      <c r="E33" s="21"/>
      <c r="F33" s="2"/>
      <c r="G33" s="2"/>
      <c r="H33" s="30"/>
      <c r="I33" s="2"/>
      <c r="J33" s="28"/>
    </row>
    <row r="34" spans="1:10" ht="16.5" customHeight="1">
      <c r="A34" s="5" t="s">
        <v>13</v>
      </c>
      <c r="B34" s="5"/>
      <c r="C34" s="22"/>
      <c r="D34" s="22"/>
      <c r="E34" s="21"/>
      <c r="F34" s="2"/>
      <c r="G34" s="2"/>
      <c r="H34" s="30"/>
      <c r="I34" s="2"/>
      <c r="J34" s="2"/>
    </row>
    <row r="35" spans="1:10" ht="16.5" customHeight="1">
      <c r="A35" s="5" t="s">
        <v>25</v>
      </c>
      <c r="B35" s="5"/>
      <c r="C35" s="22"/>
      <c r="D35" s="22"/>
      <c r="E35" s="23"/>
      <c r="F35" s="8"/>
      <c r="G35" s="2"/>
      <c r="H35" s="30"/>
      <c r="I35" s="2"/>
      <c r="J35" s="2"/>
    </row>
    <row r="36" spans="1:10" ht="16.5" customHeight="1" thickBot="1">
      <c r="A36" s="5" t="s">
        <v>28</v>
      </c>
      <c r="B36" s="5"/>
      <c r="C36" s="22"/>
      <c r="D36" s="22"/>
      <c r="E36" s="21"/>
      <c r="F36" s="2"/>
      <c r="G36" s="2"/>
      <c r="H36" s="31"/>
      <c r="I36" s="2"/>
      <c r="J36" s="2"/>
    </row>
    <row r="37" spans="1:10" ht="16.5" customHeight="1" thickBot="1">
      <c r="A37" s="5" t="s">
        <v>7</v>
      </c>
      <c r="B37" s="5"/>
      <c r="C37" s="22"/>
      <c r="D37" s="22"/>
      <c r="E37" s="24"/>
      <c r="F37" s="2"/>
      <c r="G37" s="2"/>
      <c r="H37" s="32">
        <v>0.112</v>
      </c>
      <c r="I37" s="2"/>
      <c r="J37" s="2"/>
    </row>
    <row r="38" spans="1:10" ht="15">
      <c r="A38" s="5"/>
      <c r="B38" s="5"/>
      <c r="C38" s="2"/>
      <c r="D38" s="2"/>
      <c r="E38" s="2"/>
      <c r="F38" s="2"/>
      <c r="G38" s="2"/>
      <c r="H38" s="25"/>
      <c r="I38" s="2"/>
      <c r="J38" s="2"/>
    </row>
    <row r="39" spans="1:10" ht="15.75" thickBot="1">
      <c r="A39" s="6"/>
      <c r="B39" s="6"/>
      <c r="C39" s="3"/>
      <c r="D39" s="3"/>
      <c r="E39" s="3"/>
      <c r="F39" s="3"/>
      <c r="G39" s="3"/>
      <c r="H39" s="39"/>
      <c r="I39" s="3"/>
      <c r="J39" s="2"/>
    </row>
    <row r="40" spans="1:10" ht="15.75" thickTop="1">
      <c r="A40" s="5"/>
      <c r="B40" s="5"/>
      <c r="C40" s="2"/>
      <c r="D40" s="2"/>
      <c r="E40" s="2"/>
      <c r="F40" s="2"/>
      <c r="G40" s="2"/>
      <c r="H40" s="2"/>
      <c r="I40" s="2"/>
      <c r="J40" s="2"/>
    </row>
    <row r="41" spans="1:10" ht="16.5" customHeight="1">
      <c r="A41" s="5" t="s">
        <v>8</v>
      </c>
      <c r="B41" s="5"/>
      <c r="C41" s="21" t="s">
        <v>49</v>
      </c>
      <c r="D41" s="21"/>
      <c r="E41" s="21"/>
      <c r="F41" s="21"/>
      <c r="G41" s="21"/>
      <c r="H41" s="21"/>
      <c r="I41" s="21"/>
      <c r="J41" s="2"/>
    </row>
    <row r="42" spans="1:10" ht="20.25" customHeight="1">
      <c r="A42" s="21"/>
      <c r="B42" s="21"/>
      <c r="C42" s="21"/>
      <c r="D42" s="21"/>
      <c r="E42" s="21"/>
      <c r="F42" s="21"/>
      <c r="G42" s="21"/>
      <c r="H42" s="21"/>
      <c r="I42" s="21"/>
      <c r="J42" s="2"/>
    </row>
    <row r="43" spans="1:10" ht="20.25" customHeight="1">
      <c r="A43" s="21"/>
      <c r="B43" s="21"/>
      <c r="C43" s="21"/>
      <c r="D43" s="21"/>
      <c r="E43" s="21"/>
      <c r="F43" s="21"/>
      <c r="G43" s="21"/>
      <c r="H43" s="21"/>
      <c r="I43" s="21"/>
      <c r="J43" s="2"/>
    </row>
    <row r="44" spans="1:10" ht="20.25" customHeight="1">
      <c r="A44" s="24"/>
      <c r="B44" s="24"/>
      <c r="C44" s="24"/>
      <c r="D44" s="24"/>
      <c r="E44" s="24"/>
      <c r="F44" s="24"/>
      <c r="G44" s="24"/>
      <c r="H44" s="24"/>
      <c r="I44" s="24"/>
      <c r="J44" s="2"/>
    </row>
    <row r="45" spans="1:10" ht="20.25" customHeight="1">
      <c r="A45" s="22"/>
      <c r="B45" s="22"/>
      <c r="C45" s="22"/>
      <c r="D45" s="22"/>
      <c r="E45" s="22"/>
      <c r="F45" s="22"/>
      <c r="G45" s="22"/>
      <c r="H45" s="22"/>
      <c r="I45" s="22"/>
      <c r="J45" s="2"/>
    </row>
    <row r="46" spans="1:10" ht="20.2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20.2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20.25" customHeight="1">
      <c r="A48"/>
      <c r="B48"/>
      <c r="C48"/>
      <c r="D48"/>
      <c r="E48"/>
      <c r="F48"/>
      <c r="G48"/>
      <c r="H48"/>
      <c r="I48"/>
      <c r="J48"/>
    </row>
    <row r="49" spans="1:10" ht="16.5" customHeight="1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 ht="14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14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14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14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4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4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4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4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4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4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4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4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4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4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4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4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4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4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4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4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4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4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4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4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4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4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4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4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4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4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4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4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4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4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4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4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4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4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4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4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4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4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4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4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4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4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4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4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4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4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4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4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4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4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4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4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4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4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4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4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4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4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4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4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4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4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4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4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4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4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4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4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4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4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4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4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4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4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4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4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4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4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4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4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4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4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4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4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4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4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4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4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4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4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4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4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4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4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4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4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4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4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4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4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4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4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4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4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4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4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4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4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4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4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4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4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4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4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4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4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4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4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4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4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4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4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4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4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4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4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4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4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4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4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4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4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4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4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4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4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4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4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4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4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4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4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4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4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4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4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4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4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4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4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4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4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4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4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4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4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4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4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4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4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4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4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4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4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4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4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4.25">
      <c r="A223" s="2"/>
      <c r="B223" s="2"/>
      <c r="C223" s="2"/>
      <c r="D223" s="2"/>
      <c r="E223" s="2"/>
      <c r="F223" s="2"/>
      <c r="G223" s="2"/>
      <c r="H223" s="2"/>
      <c r="I223" s="2"/>
      <c r="J223" s="2"/>
    </row>
  </sheetData>
  <mergeCells count="4">
    <mergeCell ref="A10:B10"/>
    <mergeCell ref="A2:H2"/>
    <mergeCell ref="A1:H1"/>
    <mergeCell ref="A3:H3"/>
  </mergeCells>
  <phoneticPr fontId="4" type="noConversion"/>
  <printOptions horizontalCentered="1"/>
  <pageMargins left="0.5" right="0.5" top="0.5" bottom="0.25" header="0.5" footer="0.5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79998168889431442"/>
  </sheetPr>
  <dimension ref="A1:T200"/>
  <sheetViews>
    <sheetView tabSelected="1" topLeftCell="A83" zoomScale="145" zoomScaleNormal="145" workbookViewId="0">
      <selection activeCell="D97" sqref="D97"/>
    </sheetView>
  </sheetViews>
  <sheetFormatPr defaultRowHeight="12.75"/>
  <cols>
    <col min="1" max="7" width="5.7109375" customWidth="1"/>
    <col min="8" max="8" width="6.140625" customWidth="1"/>
    <col min="9" max="17" width="5.7109375" customWidth="1"/>
    <col min="18" max="18" width="7.85546875" customWidth="1"/>
    <col min="19" max="19" width="8.28515625" customWidth="1"/>
  </cols>
  <sheetData>
    <row r="1" spans="1:20" ht="15.75">
      <c r="A1" s="315" t="s">
        <v>194</v>
      </c>
      <c r="B1" s="315"/>
      <c r="C1" s="315"/>
      <c r="D1" s="315"/>
      <c r="E1" s="315"/>
      <c r="F1" s="315"/>
      <c r="G1" s="320" t="s">
        <v>218</v>
      </c>
      <c r="H1" s="315"/>
      <c r="I1" s="322"/>
      <c r="J1" s="315"/>
      <c r="K1" s="322"/>
      <c r="S1" s="322" t="s">
        <v>195</v>
      </c>
      <c r="T1" s="407"/>
    </row>
    <row r="2" spans="1:20" ht="13.5" thickBot="1">
      <c r="T2" s="407"/>
    </row>
    <row r="3" spans="1:20" ht="16.5" thickBot="1">
      <c r="A3" s="417" t="s">
        <v>196</v>
      </c>
      <c r="B3" s="418"/>
      <c r="C3" s="419"/>
      <c r="D3" s="537" t="s">
        <v>220</v>
      </c>
      <c r="E3" s="538"/>
      <c r="F3" s="538"/>
      <c r="G3" s="538"/>
      <c r="H3" s="538"/>
      <c r="I3" s="539"/>
      <c r="J3" s="418" t="s">
        <v>219</v>
      </c>
      <c r="K3" s="419"/>
      <c r="L3" s="419"/>
      <c r="M3" s="419"/>
      <c r="N3" s="546">
        <v>45196</v>
      </c>
      <c r="O3" s="547"/>
      <c r="P3" s="547"/>
      <c r="Q3" s="495"/>
      <c r="R3" s="430"/>
      <c r="S3" s="432"/>
      <c r="T3" s="407"/>
    </row>
    <row r="4" spans="1:20" ht="13.5" thickBot="1">
      <c r="A4" s="417" t="s">
        <v>197</v>
      </c>
      <c r="B4" s="418"/>
      <c r="C4" s="418"/>
      <c r="D4" s="419"/>
      <c r="E4" s="419"/>
      <c r="F4" s="537" t="s">
        <v>221</v>
      </c>
      <c r="G4" s="538"/>
      <c r="H4" s="538"/>
      <c r="I4" s="539"/>
      <c r="J4" s="418" t="s">
        <v>198</v>
      </c>
      <c r="K4" s="419"/>
      <c r="L4" s="421"/>
      <c r="M4" s="421"/>
      <c r="N4" s="496" t="s">
        <v>222</v>
      </c>
      <c r="O4" s="496"/>
      <c r="P4" s="496"/>
      <c r="Q4" s="496"/>
      <c r="R4" s="496"/>
      <c r="S4" s="497"/>
      <c r="T4" s="407"/>
    </row>
    <row r="5" spans="1:20" ht="13.5" thickBot="1">
      <c r="A5" s="417" t="s">
        <v>214</v>
      </c>
      <c r="B5" s="418"/>
      <c r="C5" s="418"/>
      <c r="D5" s="477">
        <v>55</v>
      </c>
      <c r="E5" s="475" t="s">
        <v>217</v>
      </c>
      <c r="F5" s="545" t="s">
        <v>223</v>
      </c>
      <c r="G5" s="545"/>
      <c r="H5" s="545"/>
      <c r="I5" s="545"/>
      <c r="J5" s="545"/>
      <c r="K5" s="545"/>
      <c r="L5" s="422" t="s">
        <v>213</v>
      </c>
      <c r="M5" s="420"/>
      <c r="N5" s="420"/>
      <c r="O5" s="420"/>
      <c r="P5" s="498"/>
      <c r="Q5" s="433" t="s">
        <v>191</v>
      </c>
      <c r="R5" s="436"/>
      <c r="S5" s="423"/>
      <c r="T5" s="407"/>
    </row>
    <row r="6" spans="1:20" ht="13.5" thickBot="1">
      <c r="A6" s="473" t="s">
        <v>216</v>
      </c>
      <c r="B6" s="474"/>
      <c r="C6" s="474"/>
      <c r="D6" s="431" t="s">
        <v>224</v>
      </c>
      <c r="E6" s="431" t="s">
        <v>215</v>
      </c>
      <c r="F6" s="540"/>
      <c r="G6" s="540"/>
      <c r="H6" s="474"/>
      <c r="I6" s="474"/>
      <c r="J6" s="474"/>
      <c r="K6" s="474"/>
      <c r="L6" s="474"/>
      <c r="M6" s="474"/>
      <c r="N6" s="474"/>
      <c r="O6" s="474"/>
      <c r="P6" s="474"/>
      <c r="Q6" s="474"/>
      <c r="R6" s="431" t="s">
        <v>199</v>
      </c>
      <c r="S6" s="432"/>
      <c r="T6" s="407"/>
    </row>
    <row r="7" spans="1:20" ht="13.5" thickBot="1">
      <c r="A7" s="424" t="s">
        <v>200</v>
      </c>
      <c r="B7" s="425"/>
      <c r="C7" s="426"/>
      <c r="D7" s="426"/>
      <c r="E7" s="426"/>
      <c r="F7" s="426"/>
      <c r="G7" s="426"/>
      <c r="H7" s="426"/>
      <c r="I7" s="427" t="s">
        <v>201</v>
      </c>
      <c r="J7" s="416"/>
      <c r="K7" s="416"/>
      <c r="L7" s="426"/>
      <c r="M7" s="426"/>
      <c r="N7" s="416"/>
      <c r="O7" s="416"/>
      <c r="P7" s="416"/>
      <c r="Q7" s="416"/>
      <c r="R7" s="428" t="s">
        <v>193</v>
      </c>
      <c r="S7" s="429" t="s">
        <v>202</v>
      </c>
      <c r="T7" s="407"/>
    </row>
    <row r="8" spans="1:20" ht="13.5" thickTop="1">
      <c r="A8" s="396"/>
      <c r="E8" s="316"/>
      <c r="F8" s="324"/>
      <c r="G8" s="315"/>
      <c r="J8" s="325"/>
      <c r="K8" s="325"/>
      <c r="L8" s="325"/>
      <c r="M8" s="325"/>
      <c r="N8" s="325"/>
      <c r="O8" s="325"/>
      <c r="P8" s="325"/>
      <c r="Q8" s="325"/>
      <c r="R8" s="326"/>
      <c r="S8" s="327"/>
      <c r="T8" s="407"/>
    </row>
    <row r="9" spans="1:20" hidden="1">
      <c r="A9" s="397"/>
      <c r="B9" s="328"/>
      <c r="C9" s="541"/>
      <c r="D9" s="542"/>
      <c r="E9" s="542"/>
      <c r="F9" s="542"/>
      <c r="G9" s="542"/>
      <c r="H9" s="542"/>
      <c r="I9" s="542"/>
      <c r="J9" s="542"/>
      <c r="K9" s="542"/>
      <c r="L9" s="542"/>
      <c r="M9" s="316"/>
      <c r="N9" s="316"/>
      <c r="O9" s="316"/>
      <c r="P9" s="543"/>
      <c r="Q9" s="544"/>
      <c r="R9" s="329"/>
      <c r="S9" s="330"/>
      <c r="T9" s="407"/>
    </row>
    <row r="10" spans="1:20" ht="15.75">
      <c r="A10" s="397"/>
      <c r="B10" s="331" t="str">
        <f>IF(Q5="YES", "2 FROZEN SAMPLES","NO FROZEN SAMPLE")</f>
        <v>2 FROZEN SAMPLES</v>
      </c>
      <c r="C10" s="331"/>
      <c r="E10" s="332"/>
      <c r="F10" s="324"/>
      <c r="G10" s="315"/>
      <c r="I10" s="320"/>
      <c r="R10" s="329"/>
      <c r="S10" s="330"/>
      <c r="T10" s="407"/>
    </row>
    <row r="11" spans="1:20" ht="15.75">
      <c r="A11" s="397"/>
      <c r="B11" s="333"/>
      <c r="C11" s="331"/>
      <c r="E11" s="332"/>
      <c r="F11" s="324"/>
      <c r="G11" s="315"/>
      <c r="J11" s="334"/>
      <c r="K11" s="335"/>
      <c r="M11" s="336"/>
      <c r="N11" s="336"/>
      <c r="O11" s="336"/>
      <c r="P11" s="321"/>
      <c r="R11" s="329"/>
      <c r="S11" s="337"/>
      <c r="T11" s="407"/>
    </row>
    <row r="12" spans="1:20">
      <c r="A12" s="398"/>
      <c r="E12" s="332"/>
      <c r="F12" s="324"/>
      <c r="G12" s="315"/>
      <c r="Q12" s="330"/>
      <c r="R12" s="338"/>
      <c r="S12" s="339"/>
      <c r="T12" s="407"/>
    </row>
    <row r="13" spans="1:20">
      <c r="A13" s="397"/>
      <c r="E13" s="332"/>
      <c r="F13" s="324"/>
      <c r="G13" s="315"/>
      <c r="J13" s="536"/>
      <c r="K13" s="536"/>
      <c r="L13" s="536"/>
      <c r="M13" s="536"/>
      <c r="N13" s="536"/>
      <c r="O13" s="536"/>
      <c r="P13" s="536"/>
      <c r="Q13" s="330"/>
      <c r="R13" s="329"/>
      <c r="S13" s="340"/>
      <c r="T13" s="407"/>
    </row>
    <row r="14" spans="1:20" ht="13.5" thickBot="1">
      <c r="A14" s="399"/>
      <c r="B14" s="341"/>
      <c r="C14" s="341"/>
      <c r="D14" s="341"/>
      <c r="E14" s="342"/>
      <c r="F14" s="343"/>
      <c r="G14" s="344"/>
      <c r="H14" s="341"/>
      <c r="I14" s="344"/>
      <c r="J14" s="341"/>
      <c r="K14" s="341"/>
      <c r="L14" s="341"/>
      <c r="M14" s="341"/>
      <c r="N14" s="341"/>
      <c r="O14" s="341"/>
      <c r="P14" s="341"/>
      <c r="Q14" s="323"/>
      <c r="R14" s="345"/>
      <c r="S14" s="346"/>
      <c r="T14" s="407"/>
    </row>
    <row r="15" spans="1:20" ht="13.5" hidden="1" thickTop="1">
      <c r="A15" s="400">
        <v>14</v>
      </c>
      <c r="B15" s="437"/>
      <c r="C15" s="438"/>
      <c r="D15" s="438"/>
      <c r="E15" s="439"/>
      <c r="F15" s="440"/>
      <c r="G15" s="438"/>
      <c r="H15" s="438"/>
      <c r="I15" s="438"/>
      <c r="J15" s="438"/>
      <c r="K15" s="438"/>
      <c r="L15" s="438"/>
      <c r="M15" s="438"/>
      <c r="N15" s="438"/>
      <c r="O15" s="438"/>
      <c r="P15" s="438"/>
      <c r="Q15" s="441"/>
      <c r="R15" s="347">
        <f>IF(R16=0,0,(SUM(B15:Q16)/R16))</f>
        <v>0</v>
      </c>
      <c r="S15" s="348">
        <v>5.5</v>
      </c>
      <c r="T15" s="407"/>
    </row>
    <row r="16" spans="1:20" ht="13.5" hidden="1" thickBot="1">
      <c r="A16" s="401">
        <v>14.5</v>
      </c>
      <c r="B16" s="442"/>
      <c r="C16" s="443"/>
      <c r="D16" s="443"/>
      <c r="E16" s="444"/>
      <c r="F16" s="445"/>
      <c r="G16" s="443"/>
      <c r="H16" s="443"/>
      <c r="I16" s="443"/>
      <c r="J16" s="443"/>
      <c r="K16" s="443"/>
      <c r="L16" s="443"/>
      <c r="M16" s="443"/>
      <c r="N16" s="443"/>
      <c r="O16" s="443"/>
      <c r="P16" s="443"/>
      <c r="Q16" s="446"/>
      <c r="R16" s="350">
        <f>COUNT(B15:Q16)</f>
        <v>0</v>
      </c>
      <c r="S16" s="346">
        <f>AVERAGE(R16/R106%/100)</f>
        <v>0</v>
      </c>
      <c r="T16" s="415">
        <f>R16*S15</f>
        <v>0</v>
      </c>
    </row>
    <row r="17" spans="1:20" ht="13.5" hidden="1" thickTop="1">
      <c r="A17" s="402">
        <v>15</v>
      </c>
      <c r="B17" s="447"/>
      <c r="C17" s="438"/>
      <c r="D17" s="438"/>
      <c r="E17" s="439"/>
      <c r="F17" s="482"/>
      <c r="G17" s="437"/>
      <c r="H17" s="438"/>
      <c r="I17" s="438"/>
      <c r="J17" s="438"/>
      <c r="K17" s="438"/>
      <c r="L17" s="438"/>
      <c r="M17" s="438"/>
      <c r="N17" s="438"/>
      <c r="O17" s="438"/>
      <c r="P17" s="438"/>
      <c r="Q17" s="448"/>
      <c r="R17" s="347">
        <f>IF(R16=0,0,(SUM(B17:Q21)/R16))</f>
        <v>0</v>
      </c>
      <c r="S17" s="337">
        <v>6</v>
      </c>
      <c r="T17" s="415"/>
    </row>
    <row r="18" spans="1:20" hidden="1">
      <c r="A18" s="402">
        <v>15.5</v>
      </c>
      <c r="B18" s="447"/>
      <c r="C18" s="438"/>
      <c r="D18" s="438"/>
      <c r="E18" s="439"/>
      <c r="F18" s="482"/>
      <c r="G18" s="437"/>
      <c r="H18" s="438"/>
      <c r="I18" s="438"/>
      <c r="J18" s="438"/>
      <c r="K18" s="438"/>
      <c r="L18" s="438"/>
      <c r="M18" s="438"/>
      <c r="N18" s="438"/>
      <c r="O18" s="438"/>
      <c r="P18" s="438"/>
      <c r="Q18" s="448"/>
      <c r="R18" s="351"/>
      <c r="S18" s="337"/>
      <c r="T18" s="415"/>
    </row>
    <row r="19" spans="1:20" hidden="1">
      <c r="A19" s="403">
        <v>15.5</v>
      </c>
      <c r="B19" s="449"/>
      <c r="C19" s="450"/>
      <c r="D19" s="450"/>
      <c r="E19" s="451"/>
      <c r="F19" s="483"/>
      <c r="G19" s="452"/>
      <c r="H19" s="450"/>
      <c r="I19" s="450"/>
      <c r="J19" s="450"/>
      <c r="K19" s="450"/>
      <c r="L19" s="450"/>
      <c r="M19" s="450"/>
      <c r="N19" s="450"/>
      <c r="O19" s="450"/>
      <c r="P19" s="450"/>
      <c r="Q19" s="453"/>
      <c r="R19" s="353"/>
      <c r="S19" s="354"/>
      <c r="T19" s="415"/>
    </row>
    <row r="20" spans="1:20" hidden="1">
      <c r="A20" s="400">
        <v>16</v>
      </c>
      <c r="B20" s="447"/>
      <c r="C20" s="438"/>
      <c r="D20" s="438"/>
      <c r="E20" s="439"/>
      <c r="F20" s="482"/>
      <c r="G20" s="437"/>
      <c r="H20" s="438"/>
      <c r="I20" s="438"/>
      <c r="J20" s="438"/>
      <c r="K20" s="438"/>
      <c r="L20" s="438"/>
      <c r="M20" s="438"/>
      <c r="N20" s="438"/>
      <c r="O20" s="438"/>
      <c r="P20" s="450"/>
      <c r="Q20" s="448"/>
      <c r="R20" s="491"/>
      <c r="S20" s="492"/>
      <c r="T20" s="415"/>
    </row>
    <row r="21" spans="1:20" ht="13.5" hidden="1" thickBot="1">
      <c r="A21" s="399">
        <v>16</v>
      </c>
      <c r="B21" s="454"/>
      <c r="C21" s="455"/>
      <c r="D21" s="455"/>
      <c r="E21" s="456"/>
      <c r="F21" s="484"/>
      <c r="G21" s="457"/>
      <c r="H21" s="455"/>
      <c r="I21" s="455"/>
      <c r="J21" s="455"/>
      <c r="K21" s="455"/>
      <c r="L21" s="455"/>
      <c r="M21" s="455"/>
      <c r="N21" s="455"/>
      <c r="O21" s="455"/>
      <c r="P21" s="455"/>
      <c r="Q21" s="458"/>
      <c r="R21" s="355">
        <f>COUNT(B17:Q21)</f>
        <v>0</v>
      </c>
      <c r="S21" s="346">
        <f>AVERAGE(R21/R106%/100)</f>
        <v>0</v>
      </c>
      <c r="T21" s="415">
        <f>R21*S17</f>
        <v>0</v>
      </c>
    </row>
    <row r="22" spans="1:20" ht="13.5" hidden="1" thickTop="1">
      <c r="A22" s="404">
        <v>16.5</v>
      </c>
      <c r="B22" s="459"/>
      <c r="C22" s="460"/>
      <c r="D22" s="461"/>
      <c r="E22" s="462"/>
      <c r="F22" s="485"/>
      <c r="G22" s="460"/>
      <c r="H22" s="461"/>
      <c r="I22" s="461"/>
      <c r="J22" s="461"/>
      <c r="K22" s="461"/>
      <c r="L22" s="461"/>
      <c r="M22" s="461"/>
      <c r="N22" s="461"/>
      <c r="O22" s="461"/>
      <c r="P22" s="461"/>
      <c r="Q22" s="463"/>
      <c r="R22" s="347">
        <f>IF(R26=0,0,(SUM(B22:Q26)/R26))</f>
        <v>0</v>
      </c>
      <c r="S22" s="337">
        <v>6.5</v>
      </c>
      <c r="T22" s="415"/>
    </row>
    <row r="23" spans="1:20" hidden="1">
      <c r="A23" s="400">
        <v>16.5</v>
      </c>
      <c r="B23" s="447"/>
      <c r="C23" s="437"/>
      <c r="D23" s="438"/>
      <c r="E23" s="439"/>
      <c r="F23" s="482"/>
      <c r="G23" s="437"/>
      <c r="H23" s="438"/>
      <c r="I23" s="438"/>
      <c r="J23" s="438"/>
      <c r="K23" s="438"/>
      <c r="L23" s="438"/>
      <c r="M23" s="438"/>
      <c r="N23" s="438"/>
      <c r="O23" s="438"/>
      <c r="P23" s="438"/>
      <c r="Q23" s="448"/>
      <c r="R23" s="351"/>
      <c r="S23" s="337"/>
      <c r="T23" s="415"/>
    </row>
    <row r="24" spans="1:20" hidden="1">
      <c r="A24" s="405">
        <v>17</v>
      </c>
      <c r="B24" s="449"/>
      <c r="C24" s="452"/>
      <c r="D24" s="450"/>
      <c r="E24" s="450"/>
      <c r="F24" s="486"/>
      <c r="G24" s="450"/>
      <c r="H24" s="450"/>
      <c r="I24" s="450"/>
      <c r="J24" s="450"/>
      <c r="K24" s="450"/>
      <c r="L24" s="450"/>
      <c r="M24" s="450"/>
      <c r="N24" s="450"/>
      <c r="O24" s="450"/>
      <c r="P24" s="450"/>
      <c r="Q24" s="453"/>
      <c r="R24" s="353"/>
      <c r="S24" s="357"/>
      <c r="T24" s="415"/>
    </row>
    <row r="25" spans="1:20" hidden="1">
      <c r="A25" s="405">
        <v>17</v>
      </c>
      <c r="B25" s="490"/>
      <c r="C25" s="452"/>
      <c r="D25" s="450"/>
      <c r="E25" s="450"/>
      <c r="F25" s="486"/>
      <c r="G25" s="450"/>
      <c r="H25" s="450"/>
      <c r="I25" s="450"/>
      <c r="J25" s="450"/>
      <c r="K25" s="450"/>
      <c r="L25" s="450"/>
      <c r="M25" s="450"/>
      <c r="N25" s="450"/>
      <c r="O25" s="450"/>
      <c r="P25" s="450"/>
      <c r="Q25" s="453"/>
      <c r="R25" s="353"/>
      <c r="S25" s="357"/>
      <c r="T25" s="415"/>
    </row>
    <row r="26" spans="1:20" ht="13.5" hidden="1" thickBot="1">
      <c r="A26" s="399">
        <v>17.5</v>
      </c>
      <c r="B26" s="464"/>
      <c r="C26" s="455"/>
      <c r="D26" s="455"/>
      <c r="E26" s="455"/>
      <c r="F26" s="487"/>
      <c r="G26" s="465"/>
      <c r="H26" s="455"/>
      <c r="I26" s="455"/>
      <c r="J26" s="455"/>
      <c r="K26" s="455"/>
      <c r="L26" s="455"/>
      <c r="M26" s="455"/>
      <c r="N26" s="455"/>
      <c r="O26" s="455"/>
      <c r="P26" s="455"/>
      <c r="Q26" s="458"/>
      <c r="R26" s="355">
        <f>COUNT(B22:Q26)</f>
        <v>0</v>
      </c>
      <c r="S26" s="346">
        <f>AVERAGE(R26/R106%/100)</f>
        <v>0</v>
      </c>
      <c r="T26" s="415">
        <f>R26*S22</f>
        <v>0</v>
      </c>
    </row>
    <row r="27" spans="1:20" ht="13.5" hidden="1" thickTop="1">
      <c r="A27" s="400">
        <v>18</v>
      </c>
      <c r="B27" s="447"/>
      <c r="C27" s="437"/>
      <c r="D27" s="438"/>
      <c r="E27" s="439"/>
      <c r="F27" s="482"/>
      <c r="G27" s="437"/>
      <c r="H27" s="438"/>
      <c r="I27" s="438"/>
      <c r="J27" s="438"/>
      <c r="K27" s="438"/>
      <c r="L27" s="438"/>
      <c r="M27" s="438"/>
      <c r="N27" s="438"/>
      <c r="O27" s="438"/>
      <c r="P27" s="438"/>
      <c r="Q27" s="448"/>
      <c r="R27" s="351">
        <f>IF(R30=0,0,(SUM(B27:Q30)/R30))</f>
        <v>0</v>
      </c>
      <c r="S27" s="358">
        <v>7</v>
      </c>
      <c r="T27" s="415"/>
    </row>
    <row r="28" spans="1:20" hidden="1">
      <c r="A28" s="405">
        <v>18.5</v>
      </c>
      <c r="B28" s="449"/>
      <c r="C28" s="452"/>
      <c r="D28" s="450"/>
      <c r="E28" s="450"/>
      <c r="F28" s="486"/>
      <c r="G28" s="450"/>
      <c r="H28" s="450"/>
      <c r="I28" s="450"/>
      <c r="J28" s="450"/>
      <c r="K28" s="450"/>
      <c r="L28" s="450"/>
      <c r="M28" s="450"/>
      <c r="N28" s="450"/>
      <c r="O28" s="450"/>
      <c r="P28" s="450"/>
      <c r="Q28" s="453"/>
      <c r="R28" s="353"/>
      <c r="S28" s="337"/>
      <c r="T28" s="415"/>
    </row>
    <row r="29" spans="1:20" hidden="1">
      <c r="A29" s="405">
        <v>18.5</v>
      </c>
      <c r="B29" s="490"/>
      <c r="C29" s="450"/>
      <c r="D29" s="450"/>
      <c r="E29" s="486"/>
      <c r="F29" s="450"/>
      <c r="H29" s="450"/>
      <c r="I29" s="450"/>
      <c r="J29" s="450"/>
      <c r="K29" s="450"/>
      <c r="L29" s="450"/>
      <c r="M29" s="450"/>
      <c r="N29" s="450"/>
      <c r="O29" s="450"/>
      <c r="P29" s="450"/>
      <c r="Q29" s="453"/>
      <c r="R29" s="353"/>
      <c r="S29" s="337"/>
      <c r="T29" s="415"/>
    </row>
    <row r="30" spans="1:20" ht="13.5" hidden="1" thickBot="1">
      <c r="A30" s="401">
        <v>18.5</v>
      </c>
      <c r="B30" s="442"/>
      <c r="C30" s="442"/>
      <c r="D30" s="443"/>
      <c r="E30" s="443"/>
      <c r="F30" s="489"/>
      <c r="G30" s="443"/>
      <c r="H30" s="443"/>
      <c r="I30" s="443"/>
      <c r="J30" s="443"/>
      <c r="K30" s="443"/>
      <c r="L30" s="443"/>
      <c r="M30" s="443"/>
      <c r="N30" s="443"/>
      <c r="O30" s="443"/>
      <c r="P30" s="443"/>
      <c r="Q30" s="446"/>
      <c r="R30" s="355">
        <f>COUNT(B27:Q30)</f>
        <v>0</v>
      </c>
      <c r="S30" s="346">
        <f>AVERAGE(R30/R106%/100)</f>
        <v>0</v>
      </c>
      <c r="T30" s="415">
        <f>R30*S27</f>
        <v>0</v>
      </c>
    </row>
    <row r="31" spans="1:20" ht="13.5" hidden="1" thickTop="1">
      <c r="A31" s="400">
        <v>19</v>
      </c>
      <c r="B31" s="437"/>
      <c r="C31" s="438"/>
      <c r="D31" s="438"/>
      <c r="E31" s="438"/>
      <c r="F31" s="488"/>
      <c r="G31" s="438"/>
      <c r="H31" s="438"/>
      <c r="I31" s="438"/>
      <c r="J31" s="438"/>
      <c r="K31" s="438"/>
      <c r="L31" s="438"/>
      <c r="M31" s="438"/>
      <c r="N31" s="438"/>
      <c r="O31" s="438"/>
      <c r="P31" s="438"/>
      <c r="Q31" s="441"/>
      <c r="R31" s="347"/>
      <c r="S31" s="360">
        <v>7.5</v>
      </c>
      <c r="T31" s="415"/>
    </row>
    <row r="32" spans="1:20" hidden="1">
      <c r="A32" s="400">
        <v>19</v>
      </c>
      <c r="B32" s="437"/>
      <c r="C32" s="438"/>
      <c r="D32" s="438"/>
      <c r="E32" s="438"/>
      <c r="F32" s="488"/>
      <c r="G32" s="438"/>
      <c r="H32" s="438"/>
      <c r="I32" s="438"/>
      <c r="J32" s="438"/>
      <c r="K32" s="438"/>
      <c r="L32" s="438"/>
      <c r="M32" s="438"/>
      <c r="N32" s="438"/>
      <c r="O32" s="438"/>
      <c r="P32" s="438"/>
      <c r="Q32" s="441"/>
      <c r="R32" s="351"/>
      <c r="S32" s="337"/>
      <c r="T32" s="415"/>
    </row>
    <row r="33" spans="1:20" hidden="1">
      <c r="A33" s="400">
        <v>19</v>
      </c>
      <c r="B33" s="437"/>
      <c r="C33" s="438"/>
      <c r="D33" s="438"/>
      <c r="E33" s="438"/>
      <c r="F33" s="488"/>
      <c r="G33" s="438"/>
      <c r="H33" s="438"/>
      <c r="I33" s="438"/>
      <c r="J33" s="438"/>
      <c r="K33" s="438"/>
      <c r="L33" s="438"/>
      <c r="M33" s="438"/>
      <c r="N33" s="438"/>
      <c r="O33" s="438"/>
      <c r="P33" s="438"/>
      <c r="Q33" s="441"/>
      <c r="R33" s="351"/>
      <c r="S33" s="337"/>
      <c r="T33" s="415"/>
    </row>
    <row r="34" spans="1:20" hidden="1">
      <c r="A34" s="400">
        <v>19.5</v>
      </c>
      <c r="B34" s="437"/>
      <c r="C34" s="438"/>
      <c r="D34" s="438"/>
      <c r="E34" s="438"/>
      <c r="F34" s="488"/>
      <c r="G34" s="438"/>
      <c r="H34" s="438"/>
      <c r="I34" s="438"/>
      <c r="J34" s="438"/>
      <c r="K34" s="438"/>
      <c r="L34" s="438"/>
      <c r="M34" s="438"/>
      <c r="N34" s="438"/>
      <c r="O34" s="438"/>
      <c r="P34" s="438"/>
      <c r="Q34" s="441"/>
      <c r="R34" s="351"/>
      <c r="S34" s="330"/>
      <c r="T34" s="415"/>
    </row>
    <row r="35" spans="1:20" hidden="1">
      <c r="A35" s="403">
        <v>19.5</v>
      </c>
      <c r="B35" s="449"/>
      <c r="C35" s="450"/>
      <c r="D35" s="450"/>
      <c r="E35" s="450"/>
      <c r="F35" s="486"/>
      <c r="G35" s="450"/>
      <c r="H35" s="450"/>
      <c r="I35" s="450"/>
      <c r="J35" s="450"/>
      <c r="K35" s="450"/>
      <c r="L35" s="450"/>
      <c r="M35" s="450"/>
      <c r="N35" s="450"/>
      <c r="O35" s="450"/>
      <c r="P35" s="450"/>
      <c r="Q35" s="469"/>
      <c r="R35" s="371"/>
      <c r="S35" s="330"/>
      <c r="T35" s="415"/>
    </row>
    <row r="36" spans="1:20" hidden="1">
      <c r="A36" s="400">
        <v>19.5</v>
      </c>
      <c r="B36" s="449"/>
      <c r="C36" s="450"/>
      <c r="D36" s="450"/>
      <c r="E36" s="450"/>
      <c r="F36" s="486"/>
      <c r="G36" s="450"/>
      <c r="H36" s="450"/>
      <c r="I36" s="450"/>
      <c r="J36" s="450"/>
      <c r="K36" s="450"/>
      <c r="L36" s="450"/>
      <c r="M36" s="450"/>
      <c r="N36" s="450"/>
      <c r="O36" s="450"/>
      <c r="P36" s="450"/>
      <c r="Q36" s="469"/>
      <c r="R36" s="371"/>
      <c r="S36" s="330"/>
      <c r="T36" s="415"/>
    </row>
    <row r="37" spans="1:20" hidden="1">
      <c r="A37" s="400">
        <v>20</v>
      </c>
      <c r="B37" s="437"/>
      <c r="C37" s="438"/>
      <c r="D37" s="438"/>
      <c r="E37" s="438"/>
      <c r="F37" s="488"/>
      <c r="G37" s="438"/>
      <c r="H37" s="438"/>
      <c r="I37" s="438"/>
      <c r="J37" s="438"/>
      <c r="K37" s="438"/>
      <c r="L37" s="438"/>
      <c r="M37" s="438"/>
      <c r="N37" s="438"/>
      <c r="O37" s="438"/>
      <c r="P37" s="438"/>
      <c r="Q37" s="441"/>
      <c r="R37" s="371"/>
      <c r="S37" s="330"/>
      <c r="T37" s="415"/>
    </row>
    <row r="38" spans="1:20" hidden="1">
      <c r="A38" s="403">
        <v>20</v>
      </c>
      <c r="B38" s="467"/>
      <c r="C38" s="468"/>
      <c r="D38" s="468"/>
      <c r="E38" s="468"/>
      <c r="F38" s="493"/>
      <c r="G38" s="468"/>
      <c r="H38" s="468"/>
      <c r="I38" s="468"/>
      <c r="J38" s="468"/>
      <c r="K38" s="468"/>
      <c r="L38" s="468"/>
      <c r="M38" s="468"/>
      <c r="N38" s="468"/>
      <c r="O38" s="468"/>
      <c r="P38" s="468"/>
      <c r="Q38" s="478"/>
      <c r="R38" s="494"/>
      <c r="S38" s="330"/>
      <c r="T38" s="415"/>
    </row>
    <row r="39" spans="1:20" ht="13.5" hidden="1" thickBot="1">
      <c r="A39" s="399">
        <v>20</v>
      </c>
      <c r="B39" s="442"/>
      <c r="C39" s="443"/>
      <c r="D39" s="443"/>
      <c r="E39" s="443"/>
      <c r="F39" s="443"/>
      <c r="G39" s="443"/>
      <c r="H39" s="443"/>
      <c r="I39" s="443"/>
      <c r="J39" s="443"/>
      <c r="K39" s="443"/>
      <c r="L39" s="443"/>
      <c r="M39" s="443"/>
      <c r="N39" s="443"/>
      <c r="O39" s="443"/>
      <c r="P39" s="443"/>
      <c r="Q39" s="446"/>
      <c r="R39" s="355">
        <f>COUNT(B31:Q39)</f>
        <v>0</v>
      </c>
      <c r="S39" s="346">
        <f>AVERAGE(R39/R106%/100)</f>
        <v>0</v>
      </c>
      <c r="T39" s="415">
        <f>R39*S31</f>
        <v>0</v>
      </c>
    </row>
    <row r="40" spans="1:20" ht="13.5" hidden="1" thickTop="1">
      <c r="A40" s="404">
        <v>20.5</v>
      </c>
      <c r="B40" s="459"/>
      <c r="C40" s="461"/>
      <c r="D40" s="461"/>
      <c r="E40" s="461"/>
      <c r="F40" s="461"/>
      <c r="G40" s="461"/>
      <c r="H40" s="461"/>
      <c r="I40" s="461"/>
      <c r="J40" s="461"/>
      <c r="K40" s="461"/>
      <c r="L40" s="461"/>
      <c r="M40" s="461"/>
      <c r="N40" s="461"/>
      <c r="O40" s="461"/>
      <c r="P40" s="461"/>
      <c r="Q40" s="466"/>
      <c r="R40" s="347">
        <f>IF(R45=0,0,(SUM(B40:Q45)/R45))</f>
        <v>0</v>
      </c>
      <c r="S40" s="362" t="s">
        <v>203</v>
      </c>
      <c r="T40" s="415"/>
    </row>
    <row r="41" spans="1:20" ht="12.75" hidden="1" customHeight="1">
      <c r="A41" s="400">
        <v>20.5</v>
      </c>
      <c r="B41" s="447"/>
      <c r="C41" s="438"/>
      <c r="D41" s="438"/>
      <c r="E41" s="438"/>
      <c r="F41" s="438"/>
      <c r="G41" s="438"/>
      <c r="H41" s="438"/>
      <c r="I41" s="438"/>
      <c r="J41" s="438"/>
      <c r="K41" s="438"/>
      <c r="L41" s="438"/>
      <c r="M41" s="438"/>
      <c r="N41" s="438"/>
      <c r="O41" s="438"/>
      <c r="P41" s="438"/>
      <c r="Q41" s="441"/>
      <c r="R41" s="351"/>
      <c r="S41" s="479"/>
      <c r="T41" s="415"/>
    </row>
    <row r="42" spans="1:20" hidden="1">
      <c r="A42" s="400">
        <v>20.5</v>
      </c>
      <c r="B42" s="447"/>
      <c r="C42" s="438"/>
      <c r="D42" s="438"/>
      <c r="E42" s="438"/>
      <c r="F42" s="438"/>
      <c r="G42" s="438"/>
      <c r="H42" s="438"/>
      <c r="I42" s="438"/>
      <c r="J42" s="438"/>
      <c r="K42" s="438"/>
      <c r="L42" s="438"/>
      <c r="M42" s="438"/>
      <c r="N42" s="438"/>
      <c r="O42" s="438"/>
      <c r="P42" s="438"/>
      <c r="Q42" s="441"/>
      <c r="R42" s="351"/>
      <c r="S42" s="479"/>
      <c r="T42" s="415"/>
    </row>
    <row r="43" spans="1:20" hidden="1">
      <c r="A43" s="400">
        <v>21</v>
      </c>
      <c r="B43" s="447"/>
      <c r="C43" s="438"/>
      <c r="D43" s="438"/>
      <c r="E43" s="438"/>
      <c r="F43" s="438"/>
      <c r="G43" s="438"/>
      <c r="H43" s="438"/>
      <c r="I43" s="438"/>
      <c r="J43" s="438"/>
      <c r="K43" s="438"/>
      <c r="L43" s="438"/>
      <c r="M43" s="438"/>
      <c r="N43" s="438"/>
      <c r="O43" s="438"/>
      <c r="P43" s="438"/>
      <c r="Q43" s="441"/>
      <c r="R43" s="351"/>
      <c r="S43" s="479"/>
      <c r="T43" s="415"/>
    </row>
    <row r="44" spans="1:20" hidden="1">
      <c r="A44" s="400">
        <v>21</v>
      </c>
      <c r="B44" s="437"/>
      <c r="C44" s="438"/>
      <c r="D44" s="438"/>
      <c r="E44" s="438"/>
      <c r="F44" s="438"/>
      <c r="G44" s="438"/>
      <c r="H44" s="438"/>
      <c r="I44" s="438"/>
      <c r="J44" s="438"/>
      <c r="K44" s="438"/>
      <c r="L44" s="438"/>
      <c r="M44" s="438"/>
      <c r="N44" s="438"/>
      <c r="O44" s="438"/>
      <c r="P44" s="438"/>
      <c r="Q44" s="441"/>
      <c r="R44" s="361"/>
      <c r="S44" s="479"/>
      <c r="T44" s="415"/>
    </row>
    <row r="45" spans="1:20" ht="13.5" hidden="1" thickBot="1">
      <c r="A45" s="399">
        <v>21</v>
      </c>
      <c r="B45" s="457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80"/>
      <c r="R45" s="363">
        <f>COUNT(B40:Q45)</f>
        <v>0</v>
      </c>
      <c r="S45" s="346">
        <f>AVERAGE(R45/R106%/100)</f>
        <v>0</v>
      </c>
      <c r="T45" s="415">
        <f>R45*S40</f>
        <v>0</v>
      </c>
    </row>
    <row r="46" spans="1:20" ht="13.5" hidden="1" thickTop="1">
      <c r="A46" s="404">
        <v>21.5</v>
      </c>
      <c r="B46" s="460"/>
      <c r="C46" s="461"/>
      <c r="D46" s="461"/>
      <c r="E46" s="461"/>
      <c r="F46" s="461"/>
      <c r="G46" s="461"/>
      <c r="H46" s="461"/>
      <c r="I46" s="461"/>
      <c r="J46" s="461"/>
      <c r="K46" s="461"/>
      <c r="L46" s="461"/>
      <c r="M46" s="461"/>
      <c r="N46" s="461"/>
      <c r="O46" s="461"/>
      <c r="P46" s="461"/>
      <c r="Q46" s="466"/>
      <c r="R46" s="347">
        <f>IF(R56=0,0,(SUM(B46:Q56)/R56))</f>
        <v>0</v>
      </c>
      <c r="S46" s="364">
        <v>8.5</v>
      </c>
      <c r="T46" s="415"/>
    </row>
    <row r="47" spans="1:20" ht="12.75" hidden="1" customHeight="1">
      <c r="A47" s="403">
        <v>21.5</v>
      </c>
      <c r="B47" s="452"/>
      <c r="C47" s="450"/>
      <c r="D47" s="450"/>
      <c r="E47" s="450"/>
      <c r="F47" s="450"/>
      <c r="G47" s="450"/>
      <c r="H47" s="450"/>
      <c r="I47" s="450"/>
      <c r="J47" s="438"/>
      <c r="K47" s="438"/>
      <c r="L47" s="438"/>
      <c r="M47" s="438"/>
      <c r="N47" s="438"/>
      <c r="O47" s="438"/>
      <c r="P47" s="438"/>
      <c r="Q47" s="441"/>
      <c r="R47" s="361"/>
      <c r="S47" s="364"/>
      <c r="T47" s="415"/>
    </row>
    <row r="48" spans="1:20" ht="12.75" hidden="1" customHeight="1">
      <c r="A48" s="403">
        <v>21.5</v>
      </c>
      <c r="B48" s="452"/>
      <c r="C48" s="450"/>
      <c r="D48" s="450"/>
      <c r="E48" s="450"/>
      <c r="F48" s="450"/>
      <c r="G48" s="450"/>
      <c r="H48" s="450"/>
      <c r="I48" s="450"/>
      <c r="J48" s="438"/>
      <c r="K48" s="438"/>
      <c r="L48" s="438"/>
      <c r="M48" s="438"/>
      <c r="N48" s="438"/>
      <c r="O48" s="438"/>
      <c r="P48" s="438"/>
      <c r="Q48" s="441"/>
      <c r="R48" s="361"/>
      <c r="S48" s="364"/>
      <c r="T48" s="415"/>
    </row>
    <row r="49" spans="1:20" hidden="1">
      <c r="A49" s="403">
        <v>21.5</v>
      </c>
      <c r="B49" s="452"/>
      <c r="C49" s="450"/>
      <c r="D49" s="450"/>
      <c r="E49" s="450"/>
      <c r="F49" s="450"/>
      <c r="G49" s="450"/>
      <c r="H49" s="450"/>
      <c r="I49" s="450"/>
      <c r="J49" s="438"/>
      <c r="K49" s="438"/>
      <c r="L49" s="438"/>
      <c r="M49" s="438"/>
      <c r="N49" s="438"/>
      <c r="O49" s="438"/>
      <c r="P49" s="438"/>
      <c r="Q49" s="441"/>
      <c r="R49" s="361"/>
      <c r="S49" s="364"/>
      <c r="T49" s="415"/>
    </row>
    <row r="50" spans="1:20" hidden="1">
      <c r="A50" s="403">
        <v>21.5</v>
      </c>
      <c r="B50" s="452"/>
      <c r="C50" s="450"/>
      <c r="D50" s="450"/>
      <c r="E50" s="450"/>
      <c r="F50" s="450"/>
      <c r="G50" s="450"/>
      <c r="H50" s="450"/>
      <c r="I50" s="450"/>
      <c r="J50" s="438"/>
      <c r="K50" s="438"/>
      <c r="L50" s="438"/>
      <c r="M50" s="438"/>
      <c r="N50" s="438"/>
      <c r="O50" s="438"/>
      <c r="P50" s="438"/>
      <c r="Q50" s="441"/>
      <c r="R50" s="361"/>
      <c r="S50" s="364"/>
      <c r="T50" s="415"/>
    </row>
    <row r="51" spans="1:20" hidden="1">
      <c r="A51" s="403">
        <v>22</v>
      </c>
      <c r="B51" s="452"/>
      <c r="C51" s="450"/>
      <c r="D51" s="450"/>
      <c r="E51" s="450"/>
      <c r="F51" s="450"/>
      <c r="G51" s="450"/>
      <c r="H51" s="450"/>
      <c r="I51" s="450"/>
      <c r="J51" s="438"/>
      <c r="K51" s="438"/>
      <c r="L51" s="438"/>
      <c r="M51" s="438"/>
      <c r="N51" s="438"/>
      <c r="O51" s="438"/>
      <c r="P51" s="438"/>
      <c r="Q51" s="441"/>
      <c r="R51" s="361"/>
      <c r="S51" s="364"/>
      <c r="T51" s="415"/>
    </row>
    <row r="52" spans="1:20" hidden="1">
      <c r="A52" s="403">
        <v>22</v>
      </c>
      <c r="B52" s="449"/>
      <c r="C52" s="450"/>
      <c r="D52" s="450"/>
      <c r="E52" s="450"/>
      <c r="F52" s="450"/>
      <c r="G52" s="317"/>
      <c r="H52" s="317"/>
      <c r="I52" s="317"/>
      <c r="J52" s="450"/>
      <c r="K52" s="450"/>
      <c r="L52" s="450"/>
      <c r="M52" s="450"/>
      <c r="N52" s="450"/>
      <c r="O52" s="450"/>
      <c r="P52" s="450"/>
      <c r="Q52" s="469"/>
      <c r="R52" s="365"/>
      <c r="S52" s="339"/>
      <c r="T52" s="415"/>
    </row>
    <row r="53" spans="1:20" hidden="1">
      <c r="A53" s="403">
        <v>22</v>
      </c>
      <c r="B53" s="449"/>
      <c r="C53" s="450"/>
      <c r="D53" s="450"/>
      <c r="E53" s="450"/>
      <c r="F53" s="450"/>
      <c r="G53" s="394"/>
      <c r="H53" s="394"/>
      <c r="I53" s="394"/>
      <c r="J53" s="471"/>
      <c r="K53" s="471"/>
      <c r="L53" s="471"/>
      <c r="M53" s="471"/>
      <c r="N53" s="471"/>
      <c r="O53" s="471"/>
      <c r="P53" s="471"/>
      <c r="Q53" s="472"/>
      <c r="R53" s="372"/>
      <c r="S53" s="330"/>
      <c r="T53" s="415"/>
    </row>
    <row r="54" spans="1:20" hidden="1">
      <c r="A54" s="403">
        <v>22</v>
      </c>
      <c r="B54" s="452"/>
      <c r="C54" s="450"/>
      <c r="D54" s="450"/>
      <c r="E54" s="450"/>
      <c r="F54" s="450"/>
      <c r="G54" s="317"/>
      <c r="H54" s="317"/>
      <c r="I54" s="317"/>
      <c r="J54" s="450"/>
      <c r="K54" s="450"/>
      <c r="L54" s="450"/>
      <c r="M54" s="450"/>
      <c r="N54" s="450"/>
      <c r="O54" s="450"/>
      <c r="P54" s="450"/>
      <c r="Q54" s="469"/>
      <c r="R54" s="372"/>
      <c r="S54" s="330"/>
      <c r="T54" s="415"/>
    </row>
    <row r="55" spans="1:20" hidden="1">
      <c r="A55" s="403">
        <v>22.5</v>
      </c>
      <c r="B55" s="467"/>
      <c r="C55" s="468"/>
      <c r="D55" s="468"/>
      <c r="E55" s="468"/>
      <c r="F55" s="468"/>
      <c r="G55" s="481"/>
      <c r="H55" s="481"/>
      <c r="I55" s="481"/>
      <c r="J55" s="468"/>
      <c r="K55" s="468"/>
      <c r="L55" s="468"/>
      <c r="M55" s="468"/>
      <c r="N55" s="468"/>
      <c r="O55" s="468"/>
      <c r="P55" s="468"/>
      <c r="Q55" s="478"/>
      <c r="R55" s="374"/>
      <c r="S55" s="330"/>
      <c r="T55" s="415"/>
    </row>
    <row r="56" spans="1:20" ht="13.5" hidden="1" thickBot="1">
      <c r="A56" s="399">
        <v>22.5</v>
      </c>
      <c r="B56" s="442"/>
      <c r="C56" s="443"/>
      <c r="D56" s="443"/>
      <c r="E56" s="443"/>
      <c r="F56" s="443"/>
      <c r="G56" s="443"/>
      <c r="H56" s="443"/>
      <c r="I56" s="443"/>
      <c r="J56" s="443"/>
      <c r="K56" s="443"/>
      <c r="L56" s="443"/>
      <c r="M56" s="443"/>
      <c r="N56" s="443"/>
      <c r="O56" s="443"/>
      <c r="P56" s="443"/>
      <c r="Q56" s="446"/>
      <c r="R56" s="363">
        <f>COUNT(B46:Q56)</f>
        <v>0</v>
      </c>
      <c r="S56" s="346">
        <f>AVERAGE(R56/R106%/100)</f>
        <v>0</v>
      </c>
      <c r="T56" s="415">
        <f>R56*S46</f>
        <v>0</v>
      </c>
    </row>
    <row r="57" spans="1:20" ht="13.5" thickTop="1">
      <c r="A57" s="404">
        <v>23</v>
      </c>
      <c r="B57" s="460"/>
      <c r="C57" s="461"/>
      <c r="D57" s="461"/>
      <c r="E57" s="461"/>
      <c r="F57" s="461"/>
      <c r="G57" s="461"/>
      <c r="H57" s="461"/>
      <c r="I57" s="461"/>
      <c r="J57" s="461"/>
      <c r="K57" s="461"/>
      <c r="L57" s="461"/>
      <c r="M57" s="461"/>
      <c r="N57" s="461"/>
      <c r="O57" s="461"/>
      <c r="P57" s="461"/>
      <c r="Q57" s="466"/>
      <c r="R57" s="370"/>
      <c r="S57" s="366" t="s">
        <v>204</v>
      </c>
      <c r="T57" s="415"/>
    </row>
    <row r="58" spans="1:20">
      <c r="A58" s="403">
        <v>23</v>
      </c>
      <c r="B58" s="450"/>
      <c r="C58" s="450"/>
      <c r="D58" s="450"/>
      <c r="E58" s="450"/>
      <c r="F58" s="450"/>
      <c r="G58" s="450"/>
      <c r="H58" s="450"/>
      <c r="I58" s="450"/>
      <c r="J58" s="450"/>
      <c r="K58" s="450"/>
      <c r="L58" s="450"/>
      <c r="M58" s="450"/>
      <c r="N58" s="450"/>
      <c r="O58" s="450"/>
      <c r="P58" s="450"/>
      <c r="Q58" s="469"/>
      <c r="R58" s="351">
        <f>IF(R60=0,0,(SUM(B57:Q60)/R60))</f>
        <v>0</v>
      </c>
      <c r="S58" s="339"/>
      <c r="T58" s="415"/>
    </row>
    <row r="59" spans="1:20">
      <c r="A59" s="403">
        <v>23.5</v>
      </c>
      <c r="B59" s="450"/>
      <c r="C59" s="450"/>
      <c r="D59" s="450"/>
      <c r="E59" s="450"/>
      <c r="F59" s="450"/>
      <c r="G59" s="450"/>
      <c r="H59" s="450"/>
      <c r="I59" s="450"/>
      <c r="J59" s="450"/>
      <c r="K59" s="450"/>
      <c r="L59" s="450"/>
      <c r="M59" s="450"/>
      <c r="N59" s="450"/>
      <c r="O59" s="450"/>
      <c r="P59" s="450"/>
      <c r="Q59" s="469"/>
      <c r="R59" s="365"/>
      <c r="S59" s="339"/>
      <c r="T59" s="415"/>
    </row>
    <row r="60" spans="1:20" ht="13.5" thickBot="1">
      <c r="A60" s="399">
        <v>23.5</v>
      </c>
      <c r="B60" s="442"/>
      <c r="C60" s="443"/>
      <c r="D60" s="443"/>
      <c r="E60" s="443"/>
      <c r="F60" s="443"/>
      <c r="G60" s="443"/>
      <c r="H60" s="443"/>
      <c r="I60" s="443"/>
      <c r="J60" s="443"/>
      <c r="K60" s="443"/>
      <c r="L60" s="443"/>
      <c r="M60" s="443"/>
      <c r="N60" s="443"/>
      <c r="O60" s="443"/>
      <c r="P60" s="443"/>
      <c r="Q60" s="446"/>
      <c r="R60" s="350">
        <f>COUNT(B57:Q60)</f>
        <v>0</v>
      </c>
      <c r="S60" s="346">
        <f>AVERAGE(R60/R106%/100)</f>
        <v>0</v>
      </c>
      <c r="T60" s="415">
        <f>R60*S57</f>
        <v>0</v>
      </c>
    </row>
    <row r="61" spans="1:20" ht="13.5" thickTop="1">
      <c r="A61" s="404">
        <v>24</v>
      </c>
      <c r="B61" s="452">
        <v>111</v>
      </c>
      <c r="C61" s="450"/>
      <c r="D61" s="450"/>
      <c r="E61" s="450"/>
      <c r="F61" s="450"/>
      <c r="G61" s="450"/>
      <c r="H61" s="450"/>
      <c r="I61" s="450"/>
      <c r="J61" s="450"/>
      <c r="K61" s="450"/>
      <c r="L61" s="450"/>
      <c r="M61" s="450"/>
      <c r="N61" s="450"/>
      <c r="O61" s="450"/>
      <c r="P61" s="461"/>
      <c r="Q61" s="466"/>
      <c r="R61" s="367"/>
      <c r="S61" s="364">
        <v>9.5</v>
      </c>
      <c r="T61" s="415"/>
    </row>
    <row r="62" spans="1:20">
      <c r="A62" s="403">
        <v>24</v>
      </c>
      <c r="B62" s="452"/>
      <c r="C62" s="450"/>
      <c r="D62" s="450"/>
      <c r="E62" s="450"/>
      <c r="F62" s="450"/>
      <c r="G62" s="450"/>
      <c r="H62" s="450"/>
      <c r="I62" s="450"/>
      <c r="J62" s="450"/>
      <c r="K62" s="450"/>
      <c r="L62" s="450"/>
      <c r="M62" s="450"/>
      <c r="N62" s="450"/>
      <c r="O62" s="450"/>
      <c r="P62" s="450"/>
      <c r="Q62" s="469"/>
      <c r="R62" s="351">
        <f>IF(R69=0,0,(SUM(B61:Q69)/R69))</f>
        <v>120.07142857142857</v>
      </c>
      <c r="S62" s="339"/>
      <c r="T62" s="415"/>
    </row>
    <row r="63" spans="1:20">
      <c r="A63" s="403">
        <v>24</v>
      </c>
      <c r="B63" s="452"/>
      <c r="C63" s="450"/>
      <c r="D63" s="450"/>
      <c r="E63" s="450"/>
      <c r="F63" s="450"/>
      <c r="G63" s="450"/>
      <c r="H63" s="450"/>
      <c r="I63" s="450"/>
      <c r="J63" s="450"/>
      <c r="K63" s="450"/>
      <c r="L63" s="450"/>
      <c r="M63" s="450"/>
      <c r="N63" s="450"/>
      <c r="O63" s="450"/>
      <c r="P63" s="450"/>
      <c r="Q63" s="469"/>
      <c r="R63" s="361"/>
      <c r="S63" s="339"/>
      <c r="T63" s="415"/>
    </row>
    <row r="64" spans="1:20">
      <c r="A64" s="403">
        <v>24.5</v>
      </c>
      <c r="B64" s="452">
        <v>101</v>
      </c>
      <c r="C64" s="450">
        <v>110</v>
      </c>
      <c r="D64" s="450">
        <v>113</v>
      </c>
      <c r="E64" s="450"/>
      <c r="F64" s="450"/>
      <c r="G64" s="450"/>
      <c r="H64" s="450"/>
      <c r="I64" s="450"/>
      <c r="J64" s="450"/>
      <c r="K64" s="450"/>
      <c r="L64" s="450"/>
      <c r="M64" s="450"/>
      <c r="N64" s="450"/>
      <c r="O64" s="450"/>
      <c r="P64" s="450"/>
      <c r="Q64" s="469"/>
      <c r="R64" s="365"/>
      <c r="S64" s="339"/>
      <c r="T64" s="415"/>
    </row>
    <row r="65" spans="1:20">
      <c r="A65" s="403">
        <v>24.5</v>
      </c>
      <c r="B65" s="452"/>
      <c r="C65" s="450"/>
      <c r="D65" s="450"/>
      <c r="E65" s="450"/>
      <c r="F65" s="450"/>
      <c r="G65" s="450"/>
      <c r="H65" s="450"/>
      <c r="I65" s="450"/>
      <c r="J65" s="450"/>
      <c r="K65" s="450"/>
      <c r="L65" s="450"/>
      <c r="M65" s="450"/>
      <c r="N65" s="450"/>
      <c r="O65" s="450"/>
      <c r="P65" s="450"/>
      <c r="Q65" s="469"/>
      <c r="R65" s="365"/>
      <c r="S65" s="339"/>
      <c r="T65" s="415"/>
    </row>
    <row r="66" spans="1:20">
      <c r="A66" s="400">
        <v>24.5</v>
      </c>
      <c r="B66" s="452"/>
      <c r="C66" s="450"/>
      <c r="D66" s="450"/>
      <c r="E66" s="450"/>
      <c r="F66" s="450"/>
      <c r="G66" s="450"/>
      <c r="H66" s="450"/>
      <c r="I66" s="450"/>
      <c r="J66" s="450"/>
      <c r="K66" s="450"/>
      <c r="L66" s="450"/>
      <c r="M66" s="450"/>
      <c r="N66" s="450"/>
      <c r="O66" s="450"/>
      <c r="P66" s="450"/>
      <c r="Q66" s="469"/>
      <c r="R66" s="367"/>
      <c r="S66" s="339"/>
      <c r="T66" s="415"/>
    </row>
    <row r="67" spans="1:20">
      <c r="A67" s="400">
        <v>25</v>
      </c>
      <c r="B67" s="452">
        <v>128</v>
      </c>
      <c r="C67" s="450">
        <v>122</v>
      </c>
      <c r="D67" s="450">
        <v>118</v>
      </c>
      <c r="E67" s="450">
        <v>124</v>
      </c>
      <c r="F67" s="450">
        <v>119</v>
      </c>
      <c r="G67" s="450">
        <v>126</v>
      </c>
      <c r="H67" s="450">
        <v>136</v>
      </c>
      <c r="I67" s="450">
        <v>122</v>
      </c>
      <c r="J67" s="450">
        <v>127</v>
      </c>
      <c r="K67" s="450">
        <v>124</v>
      </c>
      <c r="L67" s="450"/>
      <c r="M67" s="450"/>
      <c r="N67" s="450"/>
      <c r="O67" s="450"/>
      <c r="P67" s="450"/>
      <c r="Q67" s="469"/>
      <c r="R67" s="367"/>
      <c r="S67" s="339"/>
      <c r="T67" s="415"/>
    </row>
    <row r="68" spans="1:20">
      <c r="A68" s="400">
        <v>25</v>
      </c>
      <c r="B68" s="452"/>
      <c r="C68" s="450"/>
      <c r="D68" s="450"/>
      <c r="E68" s="450"/>
      <c r="F68" s="450"/>
      <c r="G68" s="450"/>
      <c r="H68" s="450"/>
      <c r="I68" s="450"/>
      <c r="J68" s="450"/>
      <c r="K68" s="450"/>
      <c r="L68" s="450"/>
      <c r="M68" s="450"/>
      <c r="N68" s="450"/>
      <c r="O68" s="450"/>
      <c r="P68" s="450"/>
      <c r="Q68" s="469"/>
      <c r="R68" s="374"/>
      <c r="S68" s="330"/>
      <c r="T68" s="415"/>
    </row>
    <row r="69" spans="1:20" ht="13.5" thickBot="1">
      <c r="A69" s="399">
        <v>25</v>
      </c>
      <c r="B69" s="442"/>
      <c r="C69" s="443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443"/>
      <c r="P69" s="443"/>
      <c r="Q69" s="446"/>
      <c r="R69" s="350">
        <f>COUNT(B61:Q69)</f>
        <v>14</v>
      </c>
      <c r="S69" s="346">
        <f>AVERAGE(R69/R106%/100)</f>
        <v>9.3333333333333338E-2</v>
      </c>
      <c r="T69" s="415">
        <f>R69*S61</f>
        <v>133</v>
      </c>
    </row>
    <row r="70" spans="1:20" ht="13.5" thickTop="1">
      <c r="A70" s="404">
        <v>25.5</v>
      </c>
      <c r="B70" s="460">
        <v>117</v>
      </c>
      <c r="C70" s="461">
        <v>138</v>
      </c>
      <c r="D70" s="461">
        <v>130</v>
      </c>
      <c r="E70" s="461">
        <v>122</v>
      </c>
      <c r="F70" s="461">
        <v>128</v>
      </c>
      <c r="G70" s="461">
        <v>130</v>
      </c>
      <c r="H70" s="461">
        <v>125</v>
      </c>
      <c r="I70" s="461">
        <v>127</v>
      </c>
      <c r="J70" s="461">
        <v>135</v>
      </c>
      <c r="K70" s="461">
        <v>121</v>
      </c>
      <c r="L70" s="461">
        <v>140</v>
      </c>
      <c r="M70" s="461">
        <v>125</v>
      </c>
      <c r="N70" s="461">
        <v>122</v>
      </c>
      <c r="O70" s="461"/>
      <c r="P70" s="461"/>
      <c r="Q70" s="466"/>
      <c r="R70" s="367"/>
      <c r="S70" s="366" t="s">
        <v>205</v>
      </c>
      <c r="T70" s="415"/>
    </row>
    <row r="71" spans="1:20">
      <c r="A71" s="400">
        <v>25.5</v>
      </c>
      <c r="B71" s="437"/>
      <c r="C71" s="438"/>
      <c r="D71" s="438"/>
      <c r="E71" s="438"/>
      <c r="F71" s="438"/>
      <c r="G71" s="438"/>
      <c r="H71" s="438"/>
      <c r="I71" s="438"/>
      <c r="J71" s="438"/>
      <c r="K71" s="438"/>
      <c r="L71" s="438"/>
      <c r="M71" s="438"/>
      <c r="N71" s="438"/>
      <c r="O71" s="438"/>
      <c r="P71" s="438"/>
      <c r="Q71" s="441"/>
      <c r="R71" s="367"/>
      <c r="S71" s="366"/>
      <c r="T71" s="415"/>
    </row>
    <row r="72" spans="1:20">
      <c r="A72" s="403">
        <v>26</v>
      </c>
      <c r="B72" s="452">
        <v>140</v>
      </c>
      <c r="C72" s="450">
        <v>132</v>
      </c>
      <c r="D72" s="450">
        <v>139</v>
      </c>
      <c r="E72" s="450">
        <v>122</v>
      </c>
      <c r="F72" s="450">
        <v>147</v>
      </c>
      <c r="G72" s="450">
        <v>145</v>
      </c>
      <c r="H72" s="450">
        <v>135</v>
      </c>
      <c r="I72" s="450">
        <v>134</v>
      </c>
      <c r="J72" s="450">
        <v>141</v>
      </c>
      <c r="K72" s="450">
        <v>144</v>
      </c>
      <c r="L72" s="450">
        <v>135</v>
      </c>
      <c r="M72" s="450">
        <v>152</v>
      </c>
      <c r="N72" s="450">
        <v>138</v>
      </c>
      <c r="O72" s="450">
        <v>125</v>
      </c>
      <c r="P72" s="450">
        <v>132</v>
      </c>
      <c r="Q72" s="469">
        <v>144</v>
      </c>
      <c r="R72" s="351">
        <f>IF(R74=0,0,(SUM(B70:Q74)/R74))</f>
        <v>133.15625</v>
      </c>
      <c r="S72" s="339"/>
      <c r="T72" s="415"/>
    </row>
    <row r="73" spans="1:20">
      <c r="A73" s="403">
        <v>26</v>
      </c>
      <c r="B73" s="452">
        <v>130</v>
      </c>
      <c r="C73" s="450">
        <v>136</v>
      </c>
      <c r="D73" s="450">
        <v>130</v>
      </c>
      <c r="E73" s="450"/>
      <c r="F73" s="450"/>
      <c r="G73" s="450"/>
      <c r="H73" s="450"/>
      <c r="I73" s="450"/>
      <c r="J73" s="450"/>
      <c r="K73" s="450"/>
      <c r="L73" s="450"/>
      <c r="M73" s="450"/>
      <c r="N73" s="450"/>
      <c r="O73" s="450"/>
      <c r="P73" s="450"/>
      <c r="Q73" s="469"/>
      <c r="R73" s="368"/>
      <c r="S73" s="369"/>
      <c r="T73" s="415"/>
    </row>
    <row r="74" spans="1:20" ht="13.5" thickBot="1">
      <c r="A74" s="399">
        <v>26</v>
      </c>
      <c r="B74" s="442"/>
      <c r="C74" s="443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/>
      <c r="O74" s="443"/>
      <c r="P74" s="443"/>
      <c r="Q74" s="446"/>
      <c r="R74" s="363">
        <f>COUNT(B70:Q74)</f>
        <v>32</v>
      </c>
      <c r="S74" s="346">
        <f>AVERAGE(R74/R106%/100)</f>
        <v>0.21333333333333332</v>
      </c>
      <c r="T74" s="415">
        <f>R74*S70</f>
        <v>320</v>
      </c>
    </row>
    <row r="75" spans="1:20" ht="13.5" thickTop="1">
      <c r="A75" s="404">
        <v>26.5</v>
      </c>
      <c r="B75" s="460">
        <v>140</v>
      </c>
      <c r="C75" s="461">
        <v>150</v>
      </c>
      <c r="D75" s="461">
        <v>155</v>
      </c>
      <c r="E75" s="461">
        <v>140</v>
      </c>
      <c r="F75" s="461">
        <v>131</v>
      </c>
      <c r="G75" s="461">
        <v>146</v>
      </c>
      <c r="H75" s="461">
        <v>147</v>
      </c>
      <c r="I75" s="461">
        <v>138</v>
      </c>
      <c r="J75" s="461">
        <v>137</v>
      </c>
      <c r="K75" s="461">
        <v>140</v>
      </c>
      <c r="L75" s="461"/>
      <c r="M75" s="461"/>
      <c r="N75" s="461"/>
      <c r="O75" s="461"/>
      <c r="P75" s="461"/>
      <c r="Q75" s="466"/>
      <c r="R75" s="370"/>
      <c r="S75" s="364">
        <v>10.5</v>
      </c>
      <c r="T75" s="415"/>
    </row>
    <row r="76" spans="1:20">
      <c r="A76" s="403">
        <v>26.5</v>
      </c>
      <c r="B76" s="452"/>
      <c r="C76" s="450"/>
      <c r="D76" s="450"/>
      <c r="E76" s="450"/>
      <c r="F76" s="450"/>
      <c r="G76" s="450"/>
      <c r="H76" s="450"/>
      <c r="I76" s="450"/>
      <c r="J76" s="450"/>
      <c r="K76" s="450"/>
      <c r="L76" s="450"/>
      <c r="M76" s="450"/>
      <c r="N76" s="450"/>
      <c r="O76" s="450"/>
      <c r="P76" s="450"/>
      <c r="Q76" s="469"/>
      <c r="R76" s="351">
        <f>IF(R81=0,0,(SUM(B75:Q81)/R81))</f>
        <v>188.69444444444446</v>
      </c>
      <c r="S76" s="339"/>
      <c r="T76" s="415"/>
    </row>
    <row r="77" spans="1:20">
      <c r="A77" s="403">
        <v>27</v>
      </c>
      <c r="B77" s="452">
        <v>159</v>
      </c>
      <c r="C77" s="450">
        <v>151</v>
      </c>
      <c r="D77" s="450">
        <v>128</v>
      </c>
      <c r="E77" s="450">
        <v>156</v>
      </c>
      <c r="F77" s="450">
        <v>152</v>
      </c>
      <c r="G77" s="450">
        <v>168</v>
      </c>
      <c r="H77" s="450">
        <v>140</v>
      </c>
      <c r="I77" s="450">
        <v>142</v>
      </c>
      <c r="J77" s="450">
        <v>146</v>
      </c>
      <c r="K77" s="450">
        <v>136</v>
      </c>
      <c r="L77" s="450">
        <v>150</v>
      </c>
      <c r="M77" s="450">
        <v>150</v>
      </c>
      <c r="N77" s="450">
        <v>164</v>
      </c>
      <c r="O77" s="450">
        <v>141</v>
      </c>
      <c r="P77" s="450">
        <v>150</v>
      </c>
      <c r="Q77" s="469"/>
      <c r="R77" s="372"/>
      <c r="S77" s="339"/>
      <c r="T77" s="415"/>
    </row>
    <row r="78" spans="1:20">
      <c r="A78" s="403">
        <v>27</v>
      </c>
      <c r="B78" s="452"/>
      <c r="C78" s="450"/>
      <c r="D78" s="450"/>
      <c r="E78" s="450"/>
      <c r="F78" s="450"/>
      <c r="G78" s="450"/>
      <c r="H78" s="450"/>
      <c r="I78" s="450"/>
      <c r="J78" s="450"/>
      <c r="K78" s="450"/>
      <c r="L78" s="450"/>
      <c r="M78" s="450"/>
      <c r="N78" s="450"/>
      <c r="O78" s="450"/>
      <c r="P78" s="450"/>
      <c r="R78" s="373"/>
      <c r="S78" s="339"/>
      <c r="T78" s="415"/>
    </row>
    <row r="79" spans="1:20">
      <c r="A79" s="403">
        <v>27</v>
      </c>
      <c r="B79" s="452"/>
      <c r="C79" s="450"/>
      <c r="D79" s="450"/>
      <c r="E79" s="450"/>
      <c r="F79" s="450"/>
      <c r="G79" s="450"/>
      <c r="H79" s="450"/>
      <c r="I79" s="450"/>
      <c r="J79" s="450"/>
      <c r="K79" s="450"/>
      <c r="L79" s="450"/>
      <c r="M79" s="450"/>
      <c r="N79" s="450"/>
      <c r="O79" s="450"/>
      <c r="P79" s="450"/>
      <c r="Q79" s="469"/>
      <c r="R79" s="373"/>
      <c r="S79" s="339"/>
      <c r="T79" s="415"/>
    </row>
    <row r="80" spans="1:20">
      <c r="A80" s="403">
        <v>27.5</v>
      </c>
      <c r="B80" s="470">
        <v>171</v>
      </c>
      <c r="C80" s="471">
        <v>161</v>
      </c>
      <c r="D80" s="471">
        <v>145</v>
      </c>
      <c r="E80" s="471">
        <v>170</v>
      </c>
      <c r="F80" s="471">
        <v>1661</v>
      </c>
      <c r="G80" s="471">
        <v>56</v>
      </c>
      <c r="H80" s="471">
        <v>167</v>
      </c>
      <c r="I80" s="471">
        <v>148</v>
      </c>
      <c r="J80" s="471">
        <v>166</v>
      </c>
      <c r="K80" s="471">
        <v>150</v>
      </c>
      <c r="L80" s="471">
        <v>141</v>
      </c>
      <c r="M80" s="471"/>
      <c r="N80" s="471"/>
      <c r="O80" s="471"/>
      <c r="P80" s="471"/>
      <c r="Q80" s="472"/>
      <c r="R80" s="372"/>
      <c r="S80" s="330"/>
      <c r="T80" s="415"/>
    </row>
    <row r="81" spans="1:20" ht="14.25" customHeight="1" thickBot="1">
      <c r="A81" s="399">
        <v>27.5</v>
      </c>
      <c r="B81" s="442"/>
      <c r="C81" s="443"/>
      <c r="D81" s="443"/>
      <c r="E81" s="443"/>
      <c r="F81" s="443"/>
      <c r="G81" s="443"/>
      <c r="H81" s="443"/>
      <c r="I81" s="443"/>
      <c r="J81" s="443"/>
      <c r="K81" s="443"/>
      <c r="L81" s="443"/>
      <c r="M81" s="443"/>
      <c r="N81" s="443"/>
      <c r="O81" s="443"/>
      <c r="P81" s="443"/>
      <c r="Q81" s="446"/>
      <c r="R81" s="363">
        <f>COUNT(B75:Q81)</f>
        <v>36</v>
      </c>
      <c r="S81" s="346">
        <f>AVERAGE(R81/R106%/100)</f>
        <v>0.24</v>
      </c>
      <c r="T81" s="415">
        <f>R81*S75</f>
        <v>378</v>
      </c>
    </row>
    <row r="82" spans="1:20" ht="13.5" thickTop="1">
      <c r="A82" s="404">
        <v>28</v>
      </c>
      <c r="B82" s="460">
        <v>155</v>
      </c>
      <c r="C82" s="461">
        <v>157</v>
      </c>
      <c r="D82" s="461">
        <v>170</v>
      </c>
      <c r="E82" s="461">
        <v>171</v>
      </c>
      <c r="F82" s="461">
        <v>176</v>
      </c>
      <c r="G82" s="461">
        <v>177</v>
      </c>
      <c r="H82" s="461">
        <v>147</v>
      </c>
      <c r="I82" s="461">
        <v>184</v>
      </c>
      <c r="J82" s="461">
        <v>179</v>
      </c>
      <c r="K82" s="461">
        <v>154</v>
      </c>
      <c r="L82" s="461">
        <v>182</v>
      </c>
      <c r="M82" s="461">
        <v>174</v>
      </c>
      <c r="N82" s="461">
        <v>144</v>
      </c>
      <c r="O82" s="461">
        <v>173</v>
      </c>
      <c r="P82" s="461">
        <v>174</v>
      </c>
      <c r="Q82" s="466">
        <v>172</v>
      </c>
      <c r="R82" s="370"/>
      <c r="S82" s="476" t="s">
        <v>206</v>
      </c>
      <c r="T82" s="415"/>
    </row>
    <row r="83" spans="1:20">
      <c r="A83" s="403">
        <v>28</v>
      </c>
      <c r="B83" s="452"/>
      <c r="C83" s="450"/>
      <c r="D83" s="450"/>
      <c r="E83" s="450"/>
      <c r="F83" s="450"/>
      <c r="G83" s="450"/>
      <c r="H83" s="450"/>
      <c r="I83" s="450"/>
      <c r="J83" s="450"/>
      <c r="K83" s="450"/>
      <c r="L83" s="450"/>
      <c r="M83" s="450"/>
      <c r="N83" s="450"/>
      <c r="O83" s="450"/>
      <c r="P83" s="450"/>
      <c r="Q83" s="469"/>
      <c r="R83" s="371">
        <f>IF(R85=0,0,(SUM(B82:Q85)/R85))</f>
        <v>172.58064516129033</v>
      </c>
      <c r="S83" s="339"/>
      <c r="T83" s="415"/>
    </row>
    <row r="84" spans="1:20">
      <c r="A84" s="403">
        <v>28.5</v>
      </c>
      <c r="B84" s="452">
        <v>167</v>
      </c>
      <c r="C84" s="450">
        <v>164</v>
      </c>
      <c r="D84" s="450">
        <v>179</v>
      </c>
      <c r="E84" s="450">
        <v>177</v>
      </c>
      <c r="F84" s="450">
        <v>186</v>
      </c>
      <c r="G84" s="450">
        <v>204</v>
      </c>
      <c r="H84" s="450">
        <v>193</v>
      </c>
      <c r="I84" s="450">
        <v>169</v>
      </c>
      <c r="J84" s="450">
        <v>178</v>
      </c>
      <c r="K84" s="450">
        <v>163</v>
      </c>
      <c r="L84" s="450">
        <v>181</v>
      </c>
      <c r="M84" s="450">
        <v>175</v>
      </c>
      <c r="N84" s="450">
        <v>168</v>
      </c>
      <c r="O84" s="450">
        <v>172</v>
      </c>
      <c r="P84" s="450">
        <v>185</v>
      </c>
      <c r="Q84" s="469"/>
      <c r="R84" s="373"/>
      <c r="S84" s="339"/>
      <c r="T84" s="415"/>
    </row>
    <row r="85" spans="1:20" ht="13.5" thickBot="1">
      <c r="A85" s="399">
        <v>28.5</v>
      </c>
      <c r="B85" s="442"/>
      <c r="C85" s="443"/>
      <c r="D85" s="443"/>
      <c r="E85" s="443"/>
      <c r="F85" s="443"/>
      <c r="G85" s="443"/>
      <c r="H85" s="443"/>
      <c r="I85" s="443"/>
      <c r="J85" s="443"/>
      <c r="K85" s="443"/>
      <c r="L85" s="443"/>
      <c r="M85" s="443"/>
      <c r="N85" s="443"/>
      <c r="O85" s="443"/>
      <c r="P85" s="443"/>
      <c r="Q85" s="446"/>
      <c r="R85" s="363">
        <f>COUNT(B82:Q85)</f>
        <v>31</v>
      </c>
      <c r="S85" s="346">
        <f>AVERAGE(R85/R106%/100)</f>
        <v>0.20666666666666667</v>
      </c>
      <c r="T85" s="415">
        <f>R85*S82</f>
        <v>341</v>
      </c>
    </row>
    <row r="86" spans="1:20" ht="13.5" thickTop="1">
      <c r="A86" s="404">
        <v>29</v>
      </c>
      <c r="B86" s="452">
        <v>180</v>
      </c>
      <c r="C86" s="450">
        <v>195</v>
      </c>
      <c r="D86" s="450">
        <v>190</v>
      </c>
      <c r="E86" s="450">
        <v>193</v>
      </c>
      <c r="F86" s="450">
        <v>197</v>
      </c>
      <c r="G86" s="450">
        <v>199</v>
      </c>
      <c r="H86" s="450">
        <v>212</v>
      </c>
      <c r="I86" s="450">
        <v>180</v>
      </c>
      <c r="J86" s="450">
        <v>198</v>
      </c>
      <c r="K86" s="450">
        <v>184</v>
      </c>
      <c r="L86" s="450">
        <v>186</v>
      </c>
      <c r="M86" s="450">
        <v>185</v>
      </c>
      <c r="N86" s="450"/>
      <c r="O86" s="450"/>
      <c r="P86" s="450"/>
      <c r="Q86" s="466"/>
      <c r="R86" s="370"/>
      <c r="S86" s="364">
        <v>11.5</v>
      </c>
      <c r="T86" s="415"/>
    </row>
    <row r="87" spans="1:20">
      <c r="A87" s="403">
        <v>29</v>
      </c>
      <c r="B87" s="450"/>
      <c r="C87" s="450"/>
      <c r="D87" s="450"/>
      <c r="E87" s="450"/>
      <c r="F87" s="450"/>
      <c r="G87" s="450"/>
      <c r="H87" s="450"/>
      <c r="I87" s="450"/>
      <c r="J87" s="450"/>
      <c r="K87" s="450"/>
      <c r="L87" s="450"/>
      <c r="M87" s="450"/>
      <c r="N87" s="450"/>
      <c r="O87" s="450"/>
      <c r="P87" s="450"/>
      <c r="Q87" s="469"/>
      <c r="R87" s="371">
        <f>IF(R91=0,0,(SUM(B86:Q91)/R91))</f>
        <v>194.20833333333334</v>
      </c>
      <c r="S87" s="339"/>
      <c r="T87" s="415"/>
    </row>
    <row r="88" spans="1:20">
      <c r="A88" s="403">
        <v>29.5</v>
      </c>
      <c r="B88" s="452">
        <v>182</v>
      </c>
      <c r="C88" s="450">
        <v>205</v>
      </c>
      <c r="D88" s="450">
        <v>177</v>
      </c>
      <c r="E88" s="450">
        <v>191</v>
      </c>
      <c r="F88" s="450">
        <v>199</v>
      </c>
      <c r="G88" s="450">
        <v>198</v>
      </c>
      <c r="H88" s="450">
        <v>194</v>
      </c>
      <c r="I88" s="450">
        <v>207</v>
      </c>
      <c r="J88" s="450"/>
      <c r="K88" s="450"/>
      <c r="L88" s="450"/>
      <c r="M88" s="450"/>
      <c r="N88" s="450"/>
      <c r="O88" s="450"/>
      <c r="P88" s="450"/>
      <c r="Q88" s="469"/>
      <c r="R88" s="371"/>
      <c r="S88" s="339"/>
      <c r="T88" s="415"/>
    </row>
    <row r="89" spans="1:20">
      <c r="A89" s="403">
        <v>29.5</v>
      </c>
      <c r="B89" s="452"/>
      <c r="C89" s="450"/>
      <c r="D89" s="450"/>
      <c r="E89" s="450"/>
      <c r="F89" s="450"/>
      <c r="G89" s="450"/>
      <c r="H89" s="450"/>
      <c r="I89" s="450"/>
      <c r="J89" s="450"/>
      <c r="K89" s="450"/>
      <c r="L89" s="450"/>
      <c r="M89" s="450"/>
      <c r="N89" s="450"/>
      <c r="O89" s="450"/>
      <c r="P89" s="450"/>
      <c r="Q89" s="469"/>
      <c r="R89" s="372"/>
      <c r="S89" s="339"/>
      <c r="T89" s="415"/>
    </row>
    <row r="90" spans="1:20">
      <c r="A90" s="403">
        <v>30</v>
      </c>
      <c r="B90" s="470">
        <v>218</v>
      </c>
      <c r="C90" s="471">
        <v>215</v>
      </c>
      <c r="D90" s="471">
        <v>183</v>
      </c>
      <c r="E90" s="471">
        <v>193</v>
      </c>
      <c r="F90" s="471"/>
      <c r="G90" s="471"/>
      <c r="H90" s="471"/>
      <c r="I90" s="471"/>
      <c r="J90" s="471"/>
      <c r="K90" s="471"/>
      <c r="L90" s="471"/>
      <c r="M90" s="471"/>
      <c r="N90" s="471"/>
      <c r="O90" s="471"/>
      <c r="P90" s="471"/>
      <c r="Q90" s="472"/>
      <c r="R90" s="372"/>
      <c r="S90" s="330"/>
      <c r="T90" s="415"/>
    </row>
    <row r="91" spans="1:20" ht="13.5" thickBot="1">
      <c r="A91" s="399">
        <v>30</v>
      </c>
      <c r="B91" s="442"/>
      <c r="C91" s="443"/>
      <c r="D91" s="443"/>
      <c r="E91" s="443"/>
      <c r="F91" s="443"/>
      <c r="G91" s="443"/>
      <c r="H91" s="443"/>
      <c r="I91" s="443"/>
      <c r="J91" s="443"/>
      <c r="K91" s="443"/>
      <c r="L91" s="443"/>
      <c r="M91" s="443"/>
      <c r="N91" s="443"/>
      <c r="O91" s="443"/>
      <c r="P91" s="443"/>
      <c r="Q91" s="446"/>
      <c r="R91" s="363">
        <f>COUNT(B86:Q91)</f>
        <v>24</v>
      </c>
      <c r="S91" s="346">
        <f>AVERAGE(R91/R106%/100)</f>
        <v>0.16</v>
      </c>
      <c r="T91" s="415">
        <f>R91*S86</f>
        <v>276</v>
      </c>
    </row>
    <row r="92" spans="1:20" ht="13.5" thickTop="1">
      <c r="A92" s="404">
        <v>30.5</v>
      </c>
      <c r="B92" s="452">
        <v>224</v>
      </c>
      <c r="C92" s="450">
        <v>217</v>
      </c>
      <c r="D92" s="450">
        <v>226</v>
      </c>
      <c r="E92" s="452">
        <v>220</v>
      </c>
      <c r="F92" s="450">
        <v>213</v>
      </c>
      <c r="G92" s="450">
        <v>242</v>
      </c>
      <c r="H92" s="450"/>
      <c r="I92" s="450"/>
      <c r="J92" s="450"/>
      <c r="K92" s="450"/>
      <c r="L92" s="450"/>
      <c r="M92" s="461"/>
      <c r="N92" s="461"/>
      <c r="O92" s="461"/>
      <c r="P92" s="461"/>
      <c r="Q92" s="466"/>
      <c r="R92" s="370"/>
      <c r="S92" s="362" t="s">
        <v>207</v>
      </c>
      <c r="T92" s="415"/>
    </row>
    <row r="93" spans="1:20">
      <c r="A93" s="400">
        <v>30.5</v>
      </c>
      <c r="B93" s="452"/>
      <c r="C93" s="450"/>
      <c r="D93" s="450"/>
      <c r="E93" s="452"/>
      <c r="F93" s="450"/>
      <c r="G93" s="450"/>
      <c r="H93" s="450"/>
      <c r="I93" s="450"/>
      <c r="J93" s="450"/>
      <c r="K93" s="450"/>
      <c r="L93" s="450"/>
      <c r="M93" s="438"/>
      <c r="N93" s="438"/>
      <c r="O93" s="438"/>
      <c r="P93" s="438"/>
      <c r="Q93" s="441"/>
      <c r="R93" s="373"/>
      <c r="S93" s="362"/>
      <c r="T93" s="415"/>
    </row>
    <row r="94" spans="1:20">
      <c r="A94" s="400">
        <v>31</v>
      </c>
      <c r="B94" s="452">
        <v>232</v>
      </c>
      <c r="C94" s="450">
        <v>190</v>
      </c>
      <c r="D94" s="450">
        <v>232</v>
      </c>
      <c r="E94" s="452">
        <v>256</v>
      </c>
      <c r="F94" s="450">
        <v>195</v>
      </c>
      <c r="G94" s="450"/>
      <c r="H94" s="450"/>
      <c r="I94" s="450"/>
      <c r="J94" s="450"/>
      <c r="K94" s="450"/>
      <c r="L94" s="450"/>
      <c r="M94" s="438"/>
      <c r="N94" s="438"/>
      <c r="O94" s="438"/>
      <c r="P94" s="438"/>
      <c r="Q94" s="441"/>
      <c r="R94" s="373"/>
      <c r="S94" s="362"/>
      <c r="T94" s="415"/>
    </row>
    <row r="95" spans="1:20">
      <c r="A95" s="403">
        <v>31</v>
      </c>
      <c r="B95" s="452"/>
      <c r="C95" s="450"/>
      <c r="D95" s="450"/>
      <c r="E95" s="450"/>
      <c r="F95" s="450"/>
      <c r="G95" s="450"/>
      <c r="H95" s="450"/>
      <c r="I95" s="450"/>
      <c r="J95" s="450"/>
      <c r="K95" s="450"/>
      <c r="L95" s="450"/>
      <c r="M95" s="450"/>
      <c r="N95" s="450"/>
      <c r="O95" s="450"/>
      <c r="P95" s="450"/>
      <c r="Q95" s="469"/>
      <c r="R95" s="371"/>
      <c r="S95" s="339"/>
      <c r="T95" s="415"/>
    </row>
    <row r="96" spans="1:20" ht="13.5" thickBot="1">
      <c r="A96" s="399">
        <v>31.5</v>
      </c>
      <c r="B96" s="452"/>
      <c r="C96" s="450"/>
      <c r="D96" s="450"/>
      <c r="E96" s="450"/>
      <c r="F96" s="450"/>
      <c r="G96" s="450"/>
      <c r="H96" s="450"/>
      <c r="I96" s="450"/>
      <c r="J96" s="443"/>
      <c r="K96" s="443"/>
      <c r="L96" s="443"/>
      <c r="M96" s="443"/>
      <c r="N96" s="443"/>
      <c r="O96" s="443"/>
      <c r="P96" s="443"/>
      <c r="Q96" s="446"/>
      <c r="R96" s="363">
        <f>COUNT(B92:Q96)</f>
        <v>11</v>
      </c>
      <c r="S96" s="346">
        <f>AVERAGE(R96/R106)</f>
        <v>7.3333333333333334E-2</v>
      </c>
      <c r="T96" s="415">
        <f>R96*S92</f>
        <v>132</v>
      </c>
    </row>
    <row r="97" spans="1:20" ht="13.5" thickTop="1">
      <c r="A97" s="404">
        <v>32</v>
      </c>
      <c r="B97" s="460">
        <v>241</v>
      </c>
      <c r="C97" s="461">
        <v>290</v>
      </c>
      <c r="D97" s="461"/>
      <c r="E97" s="461"/>
      <c r="F97" s="461"/>
      <c r="G97" s="461"/>
      <c r="H97" s="461"/>
      <c r="I97" s="461"/>
      <c r="J97" s="461"/>
      <c r="K97" s="461"/>
      <c r="L97" s="461"/>
      <c r="M97" s="461"/>
      <c r="N97" s="461"/>
      <c r="O97" s="461"/>
      <c r="P97" s="461"/>
      <c r="Q97" s="466"/>
      <c r="R97" s="371">
        <f>IF(R98=0,0,(SUM(B97:Q98)/R98))</f>
        <v>265.5</v>
      </c>
      <c r="S97" s="364">
        <v>12.5</v>
      </c>
      <c r="T97" s="415"/>
    </row>
    <row r="98" spans="1:20" ht="13.5" thickBot="1">
      <c r="A98" s="399">
        <v>32.5</v>
      </c>
      <c r="B98" s="442"/>
      <c r="C98" s="443"/>
      <c r="D98" s="443"/>
      <c r="E98" s="443"/>
      <c r="F98" s="443"/>
      <c r="G98" s="443"/>
      <c r="H98" s="443"/>
      <c r="I98" s="443"/>
      <c r="J98" s="443"/>
      <c r="K98" s="443"/>
      <c r="L98" s="443"/>
      <c r="M98" s="443"/>
      <c r="N98" s="443"/>
      <c r="O98" s="443"/>
      <c r="P98" s="443"/>
      <c r="Q98" s="446"/>
      <c r="R98" s="363">
        <f>COUNT(B97:Q98)</f>
        <v>2</v>
      </c>
      <c r="S98" s="346">
        <f>AVERAGE(R98/R106%/100)</f>
        <v>1.3333333333333332E-2</v>
      </c>
      <c r="T98" s="415">
        <f>R98*S97</f>
        <v>25</v>
      </c>
    </row>
    <row r="99" spans="1:20" ht="13.5" hidden="1" thickTop="1">
      <c r="A99" s="404">
        <v>33</v>
      </c>
      <c r="B99" s="460"/>
      <c r="C99" s="461"/>
      <c r="D99" s="461"/>
      <c r="E99" s="461"/>
      <c r="F99" s="461"/>
      <c r="G99" s="461"/>
      <c r="H99" s="461"/>
      <c r="I99" s="461"/>
      <c r="J99" s="461"/>
      <c r="K99" s="461"/>
      <c r="L99" s="461"/>
      <c r="M99" s="461"/>
      <c r="N99" s="461"/>
      <c r="O99" s="461"/>
      <c r="P99" s="461"/>
      <c r="Q99" s="466"/>
      <c r="R99" s="370"/>
      <c r="S99" s="362" t="s">
        <v>208</v>
      </c>
      <c r="T99" s="415"/>
    </row>
    <row r="100" spans="1:20" hidden="1">
      <c r="A100" s="403">
        <v>33.5</v>
      </c>
      <c r="B100" s="452"/>
      <c r="C100" s="450"/>
      <c r="D100" s="450"/>
      <c r="E100" s="450"/>
      <c r="F100" s="450"/>
      <c r="G100" s="450"/>
      <c r="H100" s="450"/>
      <c r="I100" s="450"/>
      <c r="J100" s="450"/>
      <c r="K100" s="450"/>
      <c r="L100" s="450"/>
      <c r="M100" s="450"/>
      <c r="N100" s="450"/>
      <c r="O100" s="450"/>
      <c r="P100" s="450"/>
      <c r="Q100" s="469"/>
      <c r="R100" s="371">
        <f>IF(R101=0,0,(SUM(B99:Q101)/R101))</f>
        <v>0</v>
      </c>
      <c r="S100" s="339"/>
      <c r="T100" s="415"/>
    </row>
    <row r="101" spans="1:20" ht="13.5" hidden="1" thickBot="1">
      <c r="A101" s="399">
        <v>34</v>
      </c>
      <c r="B101" s="442"/>
      <c r="C101" s="443"/>
      <c r="D101" s="443"/>
      <c r="E101" s="443"/>
      <c r="F101" s="443"/>
      <c r="G101" s="443"/>
      <c r="H101" s="443"/>
      <c r="I101" s="443"/>
      <c r="J101" s="443"/>
      <c r="K101" s="443"/>
      <c r="L101" s="443"/>
      <c r="M101" s="443"/>
      <c r="N101" s="443"/>
      <c r="O101" s="443"/>
      <c r="P101" s="443"/>
      <c r="Q101" s="446"/>
      <c r="R101" s="363">
        <f>COUNT(B99:Q101)</f>
        <v>0</v>
      </c>
      <c r="S101" s="346">
        <f>AVERAGE(R101/R106%/100)</f>
        <v>0</v>
      </c>
      <c r="T101" s="415">
        <f>R101*S99</f>
        <v>0</v>
      </c>
    </row>
    <row r="102" spans="1:20" ht="13.5" hidden="1" thickTop="1">
      <c r="A102" s="404">
        <v>34.5</v>
      </c>
      <c r="B102" s="437"/>
      <c r="C102" s="438"/>
      <c r="D102" s="438"/>
      <c r="E102" s="438"/>
      <c r="F102" s="438"/>
      <c r="G102" s="438"/>
      <c r="H102" s="438"/>
      <c r="I102" s="438"/>
      <c r="J102" s="438"/>
      <c r="K102" s="438"/>
      <c r="L102" s="438"/>
      <c r="M102" s="438"/>
      <c r="N102" s="438"/>
      <c r="O102" s="438"/>
      <c r="P102" s="438"/>
      <c r="Q102" s="441"/>
      <c r="R102" s="347">
        <f>IF(R103=0,0,(SUM(B102:Q103)/R103))</f>
        <v>0</v>
      </c>
      <c r="S102" s="364">
        <v>13.5</v>
      </c>
      <c r="T102" s="415"/>
    </row>
    <row r="103" spans="1:20" ht="13.5" hidden="1" thickBot="1">
      <c r="A103" s="399">
        <v>35</v>
      </c>
      <c r="B103" s="470"/>
      <c r="C103" s="471"/>
      <c r="D103" s="471"/>
      <c r="E103" s="471"/>
      <c r="F103" s="471"/>
      <c r="G103" s="471"/>
      <c r="H103" s="471"/>
      <c r="I103" s="471"/>
      <c r="J103" s="471"/>
      <c r="K103" s="471"/>
      <c r="L103" s="471"/>
      <c r="M103" s="471"/>
      <c r="N103" s="471"/>
      <c r="O103" s="471"/>
      <c r="P103" s="471"/>
      <c r="Q103" s="472"/>
      <c r="R103" s="374">
        <f>COUNT(B102:Q103)</f>
        <v>0</v>
      </c>
      <c r="S103" s="346">
        <f>AVERAGE(R103/R106%/100)</f>
        <v>0</v>
      </c>
      <c r="T103" s="415">
        <f>R103*S102</f>
        <v>0</v>
      </c>
    </row>
    <row r="104" spans="1:20" ht="14.25" thickTop="1" thickBot="1">
      <c r="A104" s="356"/>
      <c r="B104" s="375"/>
      <c r="C104" s="376"/>
      <c r="D104" s="377"/>
      <c r="E104" s="377"/>
      <c r="F104" s="377"/>
      <c r="G104" s="377"/>
      <c r="H104" s="377"/>
      <c r="I104" s="377"/>
      <c r="J104" s="377"/>
      <c r="K104" s="377"/>
      <c r="L104" s="376"/>
      <c r="M104" s="376"/>
      <c r="N104" s="376"/>
      <c r="O104" s="376"/>
      <c r="P104" s="376"/>
      <c r="Q104" s="378"/>
      <c r="R104" s="359"/>
      <c r="S104" s="379"/>
      <c r="T104" s="407"/>
    </row>
    <row r="105" spans="1:20">
      <c r="A105" s="352"/>
      <c r="B105" s="319"/>
      <c r="C105" s="380"/>
      <c r="D105" s="381" t="s">
        <v>209</v>
      </c>
      <c r="E105" s="382"/>
      <c r="F105" s="382"/>
      <c r="G105" s="383"/>
      <c r="H105" s="406">
        <f>SUM(B15:Q103)</f>
        <v>25724</v>
      </c>
      <c r="I105" s="383" t="s">
        <v>210</v>
      </c>
      <c r="J105" s="383"/>
      <c r="K105" s="384"/>
      <c r="L105" s="319"/>
      <c r="M105" s="317"/>
      <c r="N105" s="317"/>
      <c r="O105" s="317"/>
      <c r="P105" s="317"/>
      <c r="Q105" s="380"/>
      <c r="R105" s="353"/>
      <c r="S105" s="339"/>
      <c r="T105" s="407"/>
    </row>
    <row r="106" spans="1:20" ht="13.5" thickBot="1">
      <c r="A106" s="352"/>
      <c r="B106" s="319"/>
      <c r="C106" s="380"/>
      <c r="D106" s="385"/>
      <c r="H106" s="407"/>
      <c r="K106" s="386"/>
      <c r="L106" s="318"/>
      <c r="M106" s="394"/>
      <c r="N106" s="394"/>
      <c r="O106" s="394"/>
      <c r="P106" s="394"/>
      <c r="Q106" s="408"/>
      <c r="R106" s="355">
        <f>SUM(R103,R101,R98,R96,R91,R85,R81,R74,R69,R60,R56,R45,R39,R30,R26,R21,R16)</f>
        <v>150</v>
      </c>
      <c r="S106" s="346">
        <f>SUM(S103,S101,S98,S96,S91,S85,S81,S74,S69,S60,S56,S45,S39,S30,S26,S16,S21)</f>
        <v>1</v>
      </c>
      <c r="T106" s="407"/>
    </row>
    <row r="107" spans="1:20" ht="13.5" thickTop="1">
      <c r="A107" s="352"/>
      <c r="B107" s="319"/>
      <c r="C107" s="380"/>
      <c r="D107" s="387" t="s">
        <v>211</v>
      </c>
      <c r="E107" s="388"/>
      <c r="F107" s="388"/>
      <c r="G107" s="388"/>
      <c r="H107" s="407">
        <f>AVERAGE(H105/R106)</f>
        <v>171.49333333333334</v>
      </c>
      <c r="I107" t="s">
        <v>210</v>
      </c>
      <c r="L107" s="532"/>
      <c r="M107" s="533"/>
      <c r="N107" s="409"/>
      <c r="O107" s="409"/>
      <c r="P107" s="409"/>
      <c r="Q107" s="392"/>
      <c r="R107" s="393"/>
      <c r="S107" s="330"/>
      <c r="T107" s="407"/>
    </row>
    <row r="108" spans="1:20">
      <c r="A108" s="395"/>
      <c r="B108" s="318"/>
      <c r="C108" s="408"/>
      <c r="D108" s="387"/>
      <c r="E108" s="388"/>
      <c r="F108" s="388"/>
      <c r="G108" s="388"/>
      <c r="H108" s="407"/>
      <c r="L108" s="534"/>
      <c r="M108" s="535"/>
      <c r="N108" s="410"/>
      <c r="O108" s="410"/>
      <c r="P108" s="410"/>
      <c r="Q108" s="411"/>
      <c r="R108" s="393"/>
      <c r="S108" s="330"/>
      <c r="T108" s="407"/>
    </row>
    <row r="109" spans="1:20">
      <c r="A109" s="395"/>
      <c r="B109" s="318"/>
      <c r="C109" s="408"/>
      <c r="D109" s="387" t="s">
        <v>212</v>
      </c>
      <c r="E109" s="388"/>
      <c r="F109" s="388"/>
      <c r="G109" s="388"/>
      <c r="H109" s="407">
        <f>SUM(T16,T21,T26,T30,T39,T45,T56,T60,T69,T74,T81,T85,T91,T96,T98,T101,T103)/R106</f>
        <v>10.7</v>
      </c>
      <c r="I109" t="s">
        <v>192</v>
      </c>
      <c r="L109" s="534"/>
      <c r="M109" s="535"/>
      <c r="N109" s="410"/>
      <c r="O109" s="410"/>
      <c r="P109" s="410"/>
      <c r="Q109" s="411"/>
      <c r="R109" s="393"/>
      <c r="S109" s="330"/>
      <c r="T109" s="407"/>
    </row>
    <row r="110" spans="1:20" ht="14.25" thickBot="1">
      <c r="A110" s="349"/>
      <c r="B110" s="389"/>
      <c r="C110" s="390"/>
      <c r="D110" s="391"/>
      <c r="E110" s="341"/>
      <c r="F110" s="341"/>
      <c r="G110" s="341"/>
      <c r="H110" s="341"/>
      <c r="I110" s="341"/>
      <c r="J110" s="341"/>
      <c r="K110" s="341"/>
      <c r="L110" s="412"/>
      <c r="M110" s="413"/>
      <c r="N110" s="413"/>
      <c r="O110" s="413"/>
      <c r="P110" s="413"/>
      <c r="Q110" s="414"/>
      <c r="R110" s="389"/>
      <c r="S110" s="434"/>
      <c r="T110" s="407"/>
    </row>
    <row r="111" spans="1:20" ht="13.5" thickTop="1">
      <c r="T111" s="407"/>
    </row>
    <row r="112" spans="1:20">
      <c r="T112" s="407"/>
    </row>
    <row r="113" spans="2:20" ht="27">
      <c r="B113" s="435"/>
      <c r="T113" s="407"/>
    </row>
    <row r="114" spans="2:20">
      <c r="T114" s="407"/>
    </row>
    <row r="115" spans="2:20">
      <c r="T115" s="407"/>
    </row>
    <row r="116" spans="2:20">
      <c r="T116" s="407"/>
    </row>
    <row r="117" spans="2:20">
      <c r="T117" s="407"/>
    </row>
    <row r="118" spans="2:20">
      <c r="T118" s="407"/>
    </row>
    <row r="119" spans="2:20">
      <c r="T119" s="407"/>
    </row>
    <row r="120" spans="2:20">
      <c r="T120" s="407"/>
    </row>
    <row r="121" spans="2:20">
      <c r="T121" s="407"/>
    </row>
    <row r="122" spans="2:20">
      <c r="T122" s="407"/>
    </row>
    <row r="123" spans="2:20">
      <c r="T123" s="407"/>
    </row>
    <row r="124" spans="2:20">
      <c r="T124" s="407"/>
    </row>
    <row r="125" spans="2:20">
      <c r="T125" s="407"/>
    </row>
    <row r="126" spans="2:20">
      <c r="T126" s="407"/>
    </row>
    <row r="127" spans="2:20">
      <c r="T127" s="407"/>
    </row>
    <row r="128" spans="2:20">
      <c r="T128" s="407"/>
    </row>
    <row r="129" spans="20:20">
      <c r="T129" s="407"/>
    </row>
    <row r="130" spans="20:20">
      <c r="T130" s="407"/>
    </row>
    <row r="131" spans="20:20">
      <c r="T131" s="407"/>
    </row>
    <row r="132" spans="20:20">
      <c r="T132" s="407"/>
    </row>
    <row r="133" spans="20:20">
      <c r="T133" s="407"/>
    </row>
    <row r="134" spans="20:20">
      <c r="T134" s="407"/>
    </row>
    <row r="135" spans="20:20">
      <c r="T135" s="407"/>
    </row>
    <row r="136" spans="20:20">
      <c r="T136" s="407"/>
    </row>
    <row r="137" spans="20:20">
      <c r="T137" s="407"/>
    </row>
    <row r="138" spans="20:20">
      <c r="T138" s="407"/>
    </row>
    <row r="139" spans="20:20">
      <c r="T139" s="407"/>
    </row>
    <row r="140" spans="20:20">
      <c r="T140" s="407"/>
    </row>
    <row r="141" spans="20:20">
      <c r="T141" s="407"/>
    </row>
    <row r="142" spans="20:20">
      <c r="T142" s="407"/>
    </row>
    <row r="143" spans="20:20">
      <c r="T143" s="407"/>
    </row>
    <row r="144" spans="20:20">
      <c r="T144" s="407"/>
    </row>
    <row r="145" spans="20:20">
      <c r="T145" s="407"/>
    </row>
    <row r="146" spans="20:20">
      <c r="T146" s="407"/>
    </row>
    <row r="147" spans="20:20">
      <c r="T147" s="407"/>
    </row>
    <row r="148" spans="20:20">
      <c r="T148" s="407"/>
    </row>
    <row r="149" spans="20:20">
      <c r="T149" s="407"/>
    </row>
    <row r="150" spans="20:20">
      <c r="T150" s="407"/>
    </row>
    <row r="151" spans="20:20">
      <c r="T151" s="407"/>
    </row>
    <row r="152" spans="20:20">
      <c r="T152" s="407"/>
    </row>
    <row r="153" spans="20:20">
      <c r="T153" s="407"/>
    </row>
    <row r="154" spans="20:20">
      <c r="T154" s="407"/>
    </row>
    <row r="155" spans="20:20">
      <c r="T155" s="407"/>
    </row>
    <row r="156" spans="20:20">
      <c r="T156" s="407"/>
    </row>
    <row r="157" spans="20:20">
      <c r="T157" s="407"/>
    </row>
    <row r="158" spans="20:20">
      <c r="T158" s="407"/>
    </row>
    <row r="159" spans="20:20">
      <c r="T159" s="407"/>
    </row>
    <row r="160" spans="20:20">
      <c r="T160" s="407"/>
    </row>
    <row r="161" spans="20:20">
      <c r="T161" s="407"/>
    </row>
    <row r="162" spans="20:20">
      <c r="T162" s="407"/>
    </row>
    <row r="163" spans="20:20">
      <c r="T163" s="407"/>
    </row>
    <row r="164" spans="20:20">
      <c r="T164" s="407"/>
    </row>
    <row r="165" spans="20:20">
      <c r="T165" s="407"/>
    </row>
    <row r="166" spans="20:20">
      <c r="T166" s="407"/>
    </row>
    <row r="167" spans="20:20">
      <c r="T167" s="407"/>
    </row>
    <row r="168" spans="20:20">
      <c r="T168" s="407"/>
    </row>
    <row r="169" spans="20:20">
      <c r="T169" s="407"/>
    </row>
    <row r="170" spans="20:20">
      <c r="T170" s="407"/>
    </row>
    <row r="171" spans="20:20">
      <c r="T171" s="407"/>
    </row>
    <row r="172" spans="20:20">
      <c r="T172" s="407"/>
    </row>
    <row r="173" spans="20:20">
      <c r="T173" s="407"/>
    </row>
    <row r="174" spans="20:20">
      <c r="T174" s="407"/>
    </row>
    <row r="175" spans="20:20">
      <c r="T175" s="407"/>
    </row>
    <row r="176" spans="20:20">
      <c r="T176" s="407"/>
    </row>
    <row r="177" spans="20:20">
      <c r="T177" s="407"/>
    </row>
    <row r="178" spans="20:20">
      <c r="T178" s="407"/>
    </row>
    <row r="179" spans="20:20">
      <c r="T179" s="407"/>
    </row>
    <row r="180" spans="20:20">
      <c r="T180" s="407"/>
    </row>
    <row r="181" spans="20:20">
      <c r="T181" s="407"/>
    </row>
    <row r="182" spans="20:20">
      <c r="T182" s="407"/>
    </row>
    <row r="183" spans="20:20">
      <c r="T183" s="407"/>
    </row>
    <row r="184" spans="20:20">
      <c r="T184" s="407"/>
    </row>
    <row r="185" spans="20:20">
      <c r="T185" s="407"/>
    </row>
    <row r="186" spans="20:20">
      <c r="T186" s="407"/>
    </row>
    <row r="187" spans="20:20">
      <c r="T187" s="407"/>
    </row>
    <row r="188" spans="20:20">
      <c r="T188" s="407"/>
    </row>
    <row r="189" spans="20:20">
      <c r="T189" s="407"/>
    </row>
    <row r="190" spans="20:20">
      <c r="T190" s="407"/>
    </row>
    <row r="191" spans="20:20">
      <c r="T191" s="407"/>
    </row>
    <row r="192" spans="20:20">
      <c r="T192" s="407"/>
    </row>
    <row r="193" spans="20:20">
      <c r="T193" s="407"/>
    </row>
    <row r="194" spans="20:20">
      <c r="T194" s="407"/>
    </row>
    <row r="195" spans="20:20">
      <c r="T195" s="407"/>
    </row>
    <row r="196" spans="20:20">
      <c r="T196" s="407"/>
    </row>
    <row r="197" spans="20:20">
      <c r="T197" s="407"/>
    </row>
    <row r="198" spans="20:20">
      <c r="T198" s="407"/>
    </row>
    <row r="199" spans="20:20">
      <c r="T199" s="407"/>
    </row>
    <row r="200" spans="20:20">
      <c r="T200" s="407"/>
    </row>
  </sheetData>
  <mergeCells count="11">
    <mergeCell ref="L107:M107"/>
    <mergeCell ref="L108:M108"/>
    <mergeCell ref="L109:M109"/>
    <mergeCell ref="J13:P13"/>
    <mergeCell ref="D3:I3"/>
    <mergeCell ref="F4:I4"/>
    <mergeCell ref="F6:G6"/>
    <mergeCell ref="C9:L9"/>
    <mergeCell ref="P9:Q9"/>
    <mergeCell ref="F5:K5"/>
    <mergeCell ref="N3:P3"/>
  </mergeCells>
  <printOptions horizontalCentered="1"/>
  <pageMargins left="0.23622047244094491" right="0.23622047244094491" top="0.74803149606299213" bottom="0.74803149606299213" header="0.31496062992125984" footer="0.31496062992125984"/>
  <pageSetup paperSize="5" scale="8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200"/>
  <sheetViews>
    <sheetView topLeftCell="A69" workbookViewId="0">
      <selection activeCell="D94" sqref="D94"/>
    </sheetView>
  </sheetViews>
  <sheetFormatPr defaultRowHeight="12.75"/>
  <cols>
    <col min="1" max="7" width="5.7109375" customWidth="1"/>
    <col min="8" max="8" width="6.140625" customWidth="1"/>
    <col min="9" max="17" width="5.7109375" customWidth="1"/>
    <col min="18" max="18" width="7.85546875" customWidth="1"/>
    <col min="19" max="19" width="8.28515625" customWidth="1"/>
  </cols>
  <sheetData>
    <row r="1" spans="1:20" ht="15.75">
      <c r="A1" s="315" t="s">
        <v>194</v>
      </c>
      <c r="B1" s="315"/>
      <c r="C1" s="315"/>
      <c r="D1" s="315"/>
      <c r="E1" s="315"/>
      <c r="F1" s="315"/>
      <c r="G1" s="320" t="s">
        <v>218</v>
      </c>
      <c r="H1" s="315"/>
      <c r="I1" s="322"/>
      <c r="J1" s="315"/>
      <c r="K1" s="322"/>
      <c r="S1" s="322" t="s">
        <v>195</v>
      </c>
      <c r="T1" s="407"/>
    </row>
    <row r="2" spans="1:20" ht="13.5" thickBot="1">
      <c r="T2" s="407"/>
    </row>
    <row r="3" spans="1:20" ht="16.5" thickBot="1">
      <c r="A3" s="417" t="s">
        <v>196</v>
      </c>
      <c r="B3" s="418"/>
      <c r="C3" s="419"/>
      <c r="D3" s="537" t="s">
        <v>220</v>
      </c>
      <c r="E3" s="538"/>
      <c r="F3" s="538"/>
      <c r="G3" s="538"/>
      <c r="H3" s="538"/>
      <c r="I3" s="539"/>
      <c r="J3" s="418" t="s">
        <v>219</v>
      </c>
      <c r="K3" s="419"/>
      <c r="L3" s="419"/>
      <c r="M3" s="419"/>
      <c r="N3" s="546">
        <v>45196</v>
      </c>
      <c r="O3" s="547"/>
      <c r="P3" s="547"/>
      <c r="Q3" s="495"/>
      <c r="R3" s="430"/>
      <c r="S3" s="432"/>
      <c r="T3" s="407"/>
    </row>
    <row r="4" spans="1:20" ht="13.5" thickBot="1">
      <c r="A4" s="417" t="s">
        <v>197</v>
      </c>
      <c r="B4" s="418"/>
      <c r="C4" s="418"/>
      <c r="D4" s="419"/>
      <c r="E4" s="419"/>
      <c r="F4" s="537" t="s">
        <v>225</v>
      </c>
      <c r="G4" s="538"/>
      <c r="H4" s="538"/>
      <c r="I4" s="539"/>
      <c r="J4" s="418" t="s">
        <v>198</v>
      </c>
      <c r="K4" s="419"/>
      <c r="L4" s="421"/>
      <c r="M4" s="421"/>
      <c r="N4" s="496" t="s">
        <v>227</v>
      </c>
      <c r="O4" s="496"/>
      <c r="P4" s="496"/>
      <c r="Q4" s="496"/>
      <c r="R4" s="496"/>
      <c r="S4" s="497"/>
      <c r="T4" s="407"/>
    </row>
    <row r="5" spans="1:20" ht="13.5" thickBot="1">
      <c r="A5" s="417" t="s">
        <v>214</v>
      </c>
      <c r="B5" s="418"/>
      <c r="C5" s="418"/>
      <c r="D5" s="477">
        <v>82</v>
      </c>
      <c r="E5" s="475" t="s">
        <v>217</v>
      </c>
      <c r="F5" s="545" t="s">
        <v>226</v>
      </c>
      <c r="G5" s="545"/>
      <c r="H5" s="545"/>
      <c r="I5" s="545"/>
      <c r="J5" s="545"/>
      <c r="K5" s="545"/>
      <c r="L5" s="422" t="s">
        <v>213</v>
      </c>
      <c r="M5" s="420"/>
      <c r="N5" s="420"/>
      <c r="O5" s="420"/>
      <c r="P5" s="498"/>
      <c r="Q5" s="433" t="s">
        <v>191</v>
      </c>
      <c r="R5" s="436"/>
      <c r="S5" s="423"/>
      <c r="T5" s="407"/>
    </row>
    <row r="6" spans="1:20" ht="13.5" thickBot="1">
      <c r="A6" s="473" t="s">
        <v>216</v>
      </c>
      <c r="B6" s="474"/>
      <c r="C6" s="474"/>
      <c r="D6" s="431"/>
      <c r="E6" s="431" t="s">
        <v>215</v>
      </c>
      <c r="F6" s="540"/>
      <c r="G6" s="540"/>
      <c r="H6" s="474"/>
      <c r="I6" s="474"/>
      <c r="J6" s="474"/>
      <c r="K6" s="474"/>
      <c r="L6" s="474"/>
      <c r="M6" s="474"/>
      <c r="N6" s="474"/>
      <c r="O6" s="474"/>
      <c r="P6" s="474"/>
      <c r="Q6" s="474"/>
      <c r="R6" s="431" t="s">
        <v>199</v>
      </c>
      <c r="S6" s="432"/>
      <c r="T6" s="407"/>
    </row>
    <row r="7" spans="1:20" ht="13.5" thickBot="1">
      <c r="A7" s="424" t="s">
        <v>200</v>
      </c>
      <c r="B7" s="425"/>
      <c r="C7" s="426"/>
      <c r="D7" s="426"/>
      <c r="E7" s="426"/>
      <c r="F7" s="426"/>
      <c r="G7" s="426"/>
      <c r="H7" s="426"/>
      <c r="I7" s="427" t="s">
        <v>201</v>
      </c>
      <c r="J7" s="416"/>
      <c r="K7" s="416"/>
      <c r="L7" s="426"/>
      <c r="M7" s="426"/>
      <c r="N7" s="416"/>
      <c r="O7" s="416"/>
      <c r="P7" s="416"/>
      <c r="Q7" s="416"/>
      <c r="R7" s="428" t="s">
        <v>193</v>
      </c>
      <c r="S7" s="429" t="s">
        <v>202</v>
      </c>
      <c r="T7" s="407"/>
    </row>
    <row r="8" spans="1:20" ht="13.5" thickTop="1">
      <c r="A8" s="396"/>
      <c r="E8" s="316"/>
      <c r="F8" s="324"/>
      <c r="G8" s="315"/>
      <c r="J8" s="325"/>
      <c r="K8" s="325"/>
      <c r="L8" s="325"/>
      <c r="M8" s="325"/>
      <c r="N8" s="325"/>
      <c r="O8" s="325"/>
      <c r="P8" s="325"/>
      <c r="Q8" s="325"/>
      <c r="R8" s="326"/>
      <c r="S8" s="327"/>
      <c r="T8" s="407"/>
    </row>
    <row r="9" spans="1:20" hidden="1">
      <c r="A9" s="397"/>
      <c r="B9" s="328"/>
      <c r="C9" s="541"/>
      <c r="D9" s="542"/>
      <c r="E9" s="542"/>
      <c r="F9" s="542"/>
      <c r="G9" s="542"/>
      <c r="H9" s="542"/>
      <c r="I9" s="542"/>
      <c r="J9" s="542"/>
      <c r="K9" s="542"/>
      <c r="L9" s="542"/>
      <c r="M9" s="316"/>
      <c r="N9" s="316"/>
      <c r="O9" s="316"/>
      <c r="P9" s="543"/>
      <c r="Q9" s="544"/>
      <c r="R9" s="329"/>
      <c r="S9" s="330"/>
      <c r="T9" s="407"/>
    </row>
    <row r="10" spans="1:20" ht="15.75">
      <c r="A10" s="397"/>
      <c r="B10" s="331" t="str">
        <f>IF(Q5="YES", "2 FROZEN SAMPLES","NO FROZEN SAMPLE")</f>
        <v>2 FROZEN SAMPLES</v>
      </c>
      <c r="C10" s="331"/>
      <c r="E10" s="332"/>
      <c r="F10" s="324"/>
      <c r="G10" s="315"/>
      <c r="I10" s="320"/>
      <c r="R10" s="329"/>
      <c r="S10" s="330"/>
      <c r="T10" s="407"/>
    </row>
    <row r="11" spans="1:20" ht="15.75">
      <c r="A11" s="397"/>
      <c r="B11" s="333"/>
      <c r="C11" s="331"/>
      <c r="E11" s="332"/>
      <c r="F11" s="324"/>
      <c r="G11" s="315"/>
      <c r="J11" s="334"/>
      <c r="K11" s="335"/>
      <c r="M11" s="336"/>
      <c r="N11" s="336"/>
      <c r="O11" s="336"/>
      <c r="P11" s="321"/>
      <c r="R11" s="329"/>
      <c r="S11" s="337"/>
      <c r="T11" s="407"/>
    </row>
    <row r="12" spans="1:20">
      <c r="A12" s="398"/>
      <c r="E12" s="332"/>
      <c r="F12" s="324"/>
      <c r="G12" s="315"/>
      <c r="Q12" s="330"/>
      <c r="R12" s="338"/>
      <c r="S12" s="339"/>
      <c r="T12" s="407"/>
    </row>
    <row r="13" spans="1:20">
      <c r="A13" s="397"/>
      <c r="E13" s="332"/>
      <c r="F13" s="324"/>
      <c r="G13" s="315"/>
      <c r="J13" s="536"/>
      <c r="K13" s="536"/>
      <c r="L13" s="536"/>
      <c r="M13" s="536"/>
      <c r="N13" s="536"/>
      <c r="O13" s="536"/>
      <c r="P13" s="536"/>
      <c r="Q13" s="330"/>
      <c r="R13" s="329"/>
      <c r="S13" s="340"/>
      <c r="T13" s="407"/>
    </row>
    <row r="14" spans="1:20" ht="13.5" thickBot="1">
      <c r="A14" s="399"/>
      <c r="B14" s="341"/>
      <c r="C14" s="341"/>
      <c r="D14" s="341"/>
      <c r="E14" s="342"/>
      <c r="F14" s="343"/>
      <c r="G14" s="344"/>
      <c r="H14" s="341"/>
      <c r="I14" s="344"/>
      <c r="J14" s="341"/>
      <c r="K14" s="341"/>
      <c r="L14" s="341"/>
      <c r="M14" s="341"/>
      <c r="N14" s="341"/>
      <c r="O14" s="341"/>
      <c r="P14" s="341"/>
      <c r="Q14" s="323"/>
      <c r="R14" s="345"/>
      <c r="S14" s="346"/>
      <c r="T14" s="407"/>
    </row>
    <row r="15" spans="1:20" ht="14.25" hidden="1" thickTop="1" thickBot="1">
      <c r="A15" s="400">
        <v>14</v>
      </c>
      <c r="B15" s="437"/>
      <c r="C15" s="438"/>
      <c r="D15" s="438"/>
      <c r="E15" s="439"/>
      <c r="F15" s="440"/>
      <c r="G15" s="438"/>
      <c r="H15" s="438"/>
      <c r="I15" s="438"/>
      <c r="J15" s="438"/>
      <c r="K15" s="438"/>
      <c r="L15" s="438"/>
      <c r="M15" s="438"/>
      <c r="N15" s="438"/>
      <c r="O15" s="438"/>
      <c r="P15" s="438"/>
      <c r="Q15" s="441"/>
      <c r="R15" s="347">
        <f>IF(R16=0,0,(SUM(B15:Q16)/R16))</f>
        <v>0</v>
      </c>
      <c r="S15" s="348">
        <v>5.5</v>
      </c>
      <c r="T15" s="407"/>
    </row>
    <row r="16" spans="1:20" ht="14.25" hidden="1" thickTop="1" thickBot="1">
      <c r="A16" s="401">
        <v>14.5</v>
      </c>
      <c r="B16" s="442"/>
      <c r="C16" s="443"/>
      <c r="D16" s="443"/>
      <c r="E16" s="444"/>
      <c r="F16" s="445"/>
      <c r="G16" s="443"/>
      <c r="H16" s="443"/>
      <c r="I16" s="443"/>
      <c r="J16" s="443"/>
      <c r="K16" s="443"/>
      <c r="L16" s="443"/>
      <c r="M16" s="443"/>
      <c r="N16" s="443"/>
      <c r="O16" s="443"/>
      <c r="P16" s="443"/>
      <c r="Q16" s="446"/>
      <c r="R16" s="350">
        <f>COUNT(B15:Q16)</f>
        <v>0</v>
      </c>
      <c r="S16" s="346">
        <f>AVERAGE(R16/R106%/100)</f>
        <v>0</v>
      </c>
      <c r="T16" s="415">
        <f>R16*S15</f>
        <v>0</v>
      </c>
    </row>
    <row r="17" spans="1:20" ht="14.25" hidden="1" thickTop="1" thickBot="1">
      <c r="A17" s="402">
        <v>15</v>
      </c>
      <c r="B17" s="447"/>
      <c r="C17" s="438"/>
      <c r="D17" s="438"/>
      <c r="E17" s="439"/>
      <c r="F17" s="482"/>
      <c r="G17" s="437"/>
      <c r="H17" s="438"/>
      <c r="I17" s="438"/>
      <c r="J17" s="438"/>
      <c r="K17" s="438"/>
      <c r="L17" s="438"/>
      <c r="M17" s="438"/>
      <c r="N17" s="438"/>
      <c r="O17" s="438"/>
      <c r="P17" s="438"/>
      <c r="Q17" s="448"/>
      <c r="R17" s="347">
        <f>IF(R16=0,0,(SUM(B17:Q21)/R16))</f>
        <v>0</v>
      </c>
      <c r="S17" s="337">
        <v>6</v>
      </c>
      <c r="T17" s="415"/>
    </row>
    <row r="18" spans="1:20" ht="14.25" hidden="1" thickTop="1" thickBot="1">
      <c r="A18" s="402">
        <v>15.5</v>
      </c>
      <c r="B18" s="447"/>
      <c r="C18" s="438"/>
      <c r="D18" s="438"/>
      <c r="E18" s="439"/>
      <c r="F18" s="482"/>
      <c r="G18" s="437"/>
      <c r="H18" s="438"/>
      <c r="I18" s="438"/>
      <c r="J18" s="438"/>
      <c r="K18" s="438"/>
      <c r="L18" s="438"/>
      <c r="M18" s="438"/>
      <c r="N18" s="438"/>
      <c r="O18" s="438"/>
      <c r="P18" s="438"/>
      <c r="Q18" s="448"/>
      <c r="R18" s="351"/>
      <c r="S18" s="337"/>
      <c r="T18" s="415"/>
    </row>
    <row r="19" spans="1:20" ht="14.25" hidden="1" thickTop="1" thickBot="1">
      <c r="A19" s="403">
        <v>15.5</v>
      </c>
      <c r="B19" s="449"/>
      <c r="C19" s="450"/>
      <c r="D19" s="450"/>
      <c r="E19" s="451"/>
      <c r="F19" s="483"/>
      <c r="G19" s="452"/>
      <c r="H19" s="450"/>
      <c r="I19" s="450"/>
      <c r="J19" s="450"/>
      <c r="K19" s="450"/>
      <c r="L19" s="450"/>
      <c r="M19" s="450"/>
      <c r="N19" s="450"/>
      <c r="O19" s="450"/>
      <c r="P19" s="450"/>
      <c r="Q19" s="453"/>
      <c r="R19" s="353"/>
      <c r="S19" s="354"/>
      <c r="T19" s="415"/>
    </row>
    <row r="20" spans="1:20" ht="14.25" hidden="1" thickTop="1" thickBot="1">
      <c r="A20" s="400">
        <v>16</v>
      </c>
      <c r="B20" s="447"/>
      <c r="C20" s="438"/>
      <c r="D20" s="438"/>
      <c r="E20" s="439"/>
      <c r="F20" s="482"/>
      <c r="G20" s="437"/>
      <c r="H20" s="438"/>
      <c r="I20" s="438"/>
      <c r="J20" s="438"/>
      <c r="K20" s="438"/>
      <c r="L20" s="438"/>
      <c r="M20" s="438"/>
      <c r="N20" s="438"/>
      <c r="O20" s="438"/>
      <c r="P20" s="450"/>
      <c r="Q20" s="448"/>
      <c r="R20" s="491"/>
      <c r="S20" s="492"/>
      <c r="T20" s="415"/>
    </row>
    <row r="21" spans="1:20" ht="14.25" hidden="1" thickTop="1" thickBot="1">
      <c r="A21" s="399">
        <v>16</v>
      </c>
      <c r="B21" s="454"/>
      <c r="C21" s="455"/>
      <c r="D21" s="455"/>
      <c r="E21" s="456"/>
      <c r="F21" s="484"/>
      <c r="G21" s="457"/>
      <c r="H21" s="455"/>
      <c r="I21" s="455"/>
      <c r="J21" s="455"/>
      <c r="K21" s="455"/>
      <c r="L21" s="455"/>
      <c r="M21" s="455"/>
      <c r="N21" s="455"/>
      <c r="O21" s="455"/>
      <c r="P21" s="455"/>
      <c r="Q21" s="458"/>
      <c r="R21" s="355">
        <f>COUNT(B17:Q21)</f>
        <v>0</v>
      </c>
      <c r="S21" s="346">
        <f>AVERAGE(R21/R106%/100)</f>
        <v>0</v>
      </c>
      <c r="T21" s="415">
        <f>R21*S17</f>
        <v>0</v>
      </c>
    </row>
    <row r="22" spans="1:20" ht="14.25" hidden="1" thickTop="1" thickBot="1">
      <c r="A22" s="404">
        <v>16.5</v>
      </c>
      <c r="B22" s="459"/>
      <c r="C22" s="460"/>
      <c r="D22" s="461"/>
      <c r="E22" s="462"/>
      <c r="F22" s="485"/>
      <c r="G22" s="460"/>
      <c r="H22" s="461"/>
      <c r="I22" s="461"/>
      <c r="J22" s="461"/>
      <c r="K22" s="461"/>
      <c r="L22" s="461"/>
      <c r="M22" s="461"/>
      <c r="N22" s="461"/>
      <c r="O22" s="461"/>
      <c r="P22" s="461"/>
      <c r="Q22" s="463"/>
      <c r="R22" s="347">
        <f>IF(R26=0,0,(SUM(B22:Q26)/R26))</f>
        <v>0</v>
      </c>
      <c r="S22" s="337">
        <v>6.5</v>
      </c>
      <c r="T22" s="415"/>
    </row>
    <row r="23" spans="1:20" ht="14.25" hidden="1" thickTop="1" thickBot="1">
      <c r="A23" s="400">
        <v>16.5</v>
      </c>
      <c r="B23" s="447"/>
      <c r="C23" s="437"/>
      <c r="D23" s="438"/>
      <c r="E23" s="439"/>
      <c r="F23" s="482"/>
      <c r="G23" s="437"/>
      <c r="H23" s="438"/>
      <c r="I23" s="438"/>
      <c r="J23" s="438"/>
      <c r="K23" s="438"/>
      <c r="L23" s="438"/>
      <c r="M23" s="438"/>
      <c r="N23" s="438"/>
      <c r="O23" s="438"/>
      <c r="P23" s="438"/>
      <c r="Q23" s="448"/>
      <c r="R23" s="351"/>
      <c r="S23" s="337"/>
      <c r="T23" s="415"/>
    </row>
    <row r="24" spans="1:20" ht="14.25" hidden="1" thickTop="1" thickBot="1">
      <c r="A24" s="405">
        <v>17</v>
      </c>
      <c r="B24" s="449"/>
      <c r="C24" s="452"/>
      <c r="D24" s="450"/>
      <c r="E24" s="450"/>
      <c r="F24" s="486"/>
      <c r="G24" s="450"/>
      <c r="H24" s="450"/>
      <c r="I24" s="450"/>
      <c r="J24" s="450"/>
      <c r="K24" s="450"/>
      <c r="L24" s="450"/>
      <c r="M24" s="450"/>
      <c r="N24" s="450"/>
      <c r="O24" s="450"/>
      <c r="P24" s="450"/>
      <c r="Q24" s="453"/>
      <c r="R24" s="353"/>
      <c r="S24" s="357"/>
      <c r="T24" s="415"/>
    </row>
    <row r="25" spans="1:20" ht="14.25" hidden="1" thickTop="1" thickBot="1">
      <c r="A25" s="405">
        <v>17</v>
      </c>
      <c r="B25" s="490"/>
      <c r="C25" s="452"/>
      <c r="D25" s="450"/>
      <c r="E25" s="450"/>
      <c r="F25" s="486"/>
      <c r="G25" s="450"/>
      <c r="H25" s="450"/>
      <c r="I25" s="450"/>
      <c r="J25" s="450"/>
      <c r="K25" s="450"/>
      <c r="L25" s="450"/>
      <c r="M25" s="450"/>
      <c r="N25" s="450"/>
      <c r="O25" s="450"/>
      <c r="P25" s="450"/>
      <c r="Q25" s="453"/>
      <c r="R25" s="353"/>
      <c r="S25" s="357"/>
      <c r="T25" s="415"/>
    </row>
    <row r="26" spans="1:20" ht="14.25" hidden="1" thickTop="1" thickBot="1">
      <c r="A26" s="399">
        <v>17.5</v>
      </c>
      <c r="B26" s="464"/>
      <c r="C26" s="455"/>
      <c r="D26" s="455"/>
      <c r="E26" s="455"/>
      <c r="F26" s="487"/>
      <c r="G26" s="465"/>
      <c r="H26" s="455"/>
      <c r="I26" s="455"/>
      <c r="J26" s="455"/>
      <c r="K26" s="455"/>
      <c r="L26" s="455"/>
      <c r="M26" s="455"/>
      <c r="N26" s="455"/>
      <c r="O26" s="455"/>
      <c r="P26" s="455"/>
      <c r="Q26" s="458"/>
      <c r="R26" s="355">
        <f>COUNT(B22:Q26)</f>
        <v>0</v>
      </c>
      <c r="S26" s="346">
        <f>AVERAGE(R26/R106%/100)</f>
        <v>0</v>
      </c>
      <c r="T26" s="415">
        <f>R26*S22</f>
        <v>0</v>
      </c>
    </row>
    <row r="27" spans="1:20" ht="14.25" hidden="1" thickTop="1" thickBot="1">
      <c r="A27" s="400">
        <v>18</v>
      </c>
      <c r="B27" s="447"/>
      <c r="C27" s="437"/>
      <c r="D27" s="438"/>
      <c r="E27" s="439"/>
      <c r="F27" s="482"/>
      <c r="G27" s="437"/>
      <c r="H27" s="438"/>
      <c r="I27" s="438"/>
      <c r="J27" s="438"/>
      <c r="K27" s="438"/>
      <c r="L27" s="438"/>
      <c r="M27" s="438"/>
      <c r="N27" s="438"/>
      <c r="O27" s="438"/>
      <c r="P27" s="438"/>
      <c r="Q27" s="448"/>
      <c r="R27" s="351">
        <f>IF(R30=0,0,(SUM(B27:Q30)/R30))</f>
        <v>0</v>
      </c>
      <c r="S27" s="358">
        <v>7</v>
      </c>
      <c r="T27" s="415"/>
    </row>
    <row r="28" spans="1:20" ht="14.25" hidden="1" thickTop="1" thickBot="1">
      <c r="A28" s="405">
        <v>18.5</v>
      </c>
      <c r="B28" s="449"/>
      <c r="C28" s="452"/>
      <c r="D28" s="450"/>
      <c r="E28" s="450"/>
      <c r="F28" s="486"/>
      <c r="G28" s="450"/>
      <c r="H28" s="450"/>
      <c r="I28" s="450"/>
      <c r="J28" s="450"/>
      <c r="K28" s="450"/>
      <c r="L28" s="450"/>
      <c r="M28" s="450"/>
      <c r="N28" s="450"/>
      <c r="O28" s="450"/>
      <c r="P28" s="450"/>
      <c r="Q28" s="453"/>
      <c r="R28" s="353"/>
      <c r="S28" s="337"/>
      <c r="T28" s="415"/>
    </row>
    <row r="29" spans="1:20" ht="14.25" hidden="1" thickTop="1" thickBot="1">
      <c r="A29" s="405">
        <v>18.5</v>
      </c>
      <c r="B29" s="490"/>
      <c r="C29" s="450"/>
      <c r="D29" s="450"/>
      <c r="E29" s="486"/>
      <c r="F29" s="450"/>
      <c r="H29" s="450"/>
      <c r="I29" s="450"/>
      <c r="J29" s="450"/>
      <c r="K29" s="450"/>
      <c r="L29" s="450"/>
      <c r="M29" s="450"/>
      <c r="N29" s="450"/>
      <c r="O29" s="450"/>
      <c r="P29" s="450"/>
      <c r="Q29" s="453"/>
      <c r="R29" s="353"/>
      <c r="S29" s="337"/>
      <c r="T29" s="415"/>
    </row>
    <row r="30" spans="1:20" ht="14.25" hidden="1" thickTop="1" thickBot="1">
      <c r="A30" s="401">
        <v>18.5</v>
      </c>
      <c r="B30" s="442"/>
      <c r="C30" s="442"/>
      <c r="D30" s="443"/>
      <c r="E30" s="443"/>
      <c r="F30" s="489"/>
      <c r="G30" s="443"/>
      <c r="H30" s="443"/>
      <c r="I30" s="443"/>
      <c r="J30" s="443"/>
      <c r="K30" s="443"/>
      <c r="L30" s="443"/>
      <c r="M30" s="443"/>
      <c r="N30" s="443"/>
      <c r="O30" s="443"/>
      <c r="P30" s="443"/>
      <c r="Q30" s="446"/>
      <c r="R30" s="355">
        <f>COUNT(B27:Q30)</f>
        <v>0</v>
      </c>
      <c r="S30" s="346">
        <f>AVERAGE(R30/R106%/100)</f>
        <v>0</v>
      </c>
      <c r="T30" s="415">
        <f>R30*S27</f>
        <v>0</v>
      </c>
    </row>
    <row r="31" spans="1:20" ht="14.25" hidden="1" thickTop="1" thickBot="1">
      <c r="A31" s="400">
        <v>19</v>
      </c>
      <c r="B31" s="437"/>
      <c r="C31" s="438"/>
      <c r="D31" s="438"/>
      <c r="E31" s="438"/>
      <c r="F31" s="488"/>
      <c r="G31" s="438"/>
      <c r="H31" s="438"/>
      <c r="I31" s="438"/>
      <c r="J31" s="438"/>
      <c r="K31" s="438"/>
      <c r="L31" s="438"/>
      <c r="M31" s="438"/>
      <c r="N31" s="438"/>
      <c r="O31" s="438"/>
      <c r="P31" s="438"/>
      <c r="Q31" s="441"/>
      <c r="R31" s="347"/>
      <c r="S31" s="360">
        <v>7.5</v>
      </c>
      <c r="T31" s="415"/>
    </row>
    <row r="32" spans="1:20" ht="14.25" hidden="1" thickTop="1" thickBot="1">
      <c r="A32" s="400">
        <v>19</v>
      </c>
      <c r="B32" s="437"/>
      <c r="C32" s="438"/>
      <c r="D32" s="438"/>
      <c r="E32" s="438"/>
      <c r="F32" s="488"/>
      <c r="G32" s="438"/>
      <c r="H32" s="438"/>
      <c r="I32" s="438"/>
      <c r="J32" s="438"/>
      <c r="K32" s="438"/>
      <c r="L32" s="438"/>
      <c r="M32" s="438"/>
      <c r="N32" s="438"/>
      <c r="O32" s="438"/>
      <c r="P32" s="438"/>
      <c r="Q32" s="441"/>
      <c r="R32" s="351"/>
      <c r="S32" s="337"/>
      <c r="T32" s="415"/>
    </row>
    <row r="33" spans="1:20" ht="14.25" hidden="1" thickTop="1" thickBot="1">
      <c r="A33" s="400">
        <v>19</v>
      </c>
      <c r="B33" s="437"/>
      <c r="C33" s="438"/>
      <c r="D33" s="438"/>
      <c r="E33" s="438"/>
      <c r="F33" s="488"/>
      <c r="G33" s="438"/>
      <c r="H33" s="438"/>
      <c r="I33" s="438"/>
      <c r="J33" s="438"/>
      <c r="K33" s="438"/>
      <c r="L33" s="438"/>
      <c r="M33" s="438"/>
      <c r="N33" s="438"/>
      <c r="O33" s="438"/>
      <c r="P33" s="438"/>
      <c r="Q33" s="441"/>
      <c r="R33" s="351"/>
      <c r="S33" s="337"/>
      <c r="T33" s="415"/>
    </row>
    <row r="34" spans="1:20" ht="14.25" hidden="1" thickTop="1" thickBot="1">
      <c r="A34" s="400">
        <v>19.5</v>
      </c>
      <c r="B34" s="437"/>
      <c r="C34" s="438"/>
      <c r="D34" s="438"/>
      <c r="E34" s="438"/>
      <c r="F34" s="488"/>
      <c r="G34" s="438"/>
      <c r="H34" s="438"/>
      <c r="I34" s="438"/>
      <c r="J34" s="438"/>
      <c r="K34" s="438"/>
      <c r="L34" s="438"/>
      <c r="M34" s="438"/>
      <c r="N34" s="438"/>
      <c r="O34" s="438"/>
      <c r="P34" s="438"/>
      <c r="Q34" s="441"/>
      <c r="R34" s="351"/>
      <c r="S34" s="330"/>
      <c r="T34" s="415"/>
    </row>
    <row r="35" spans="1:20" ht="14.25" hidden="1" thickTop="1" thickBot="1">
      <c r="A35" s="403">
        <v>19.5</v>
      </c>
      <c r="B35" s="449"/>
      <c r="C35" s="450"/>
      <c r="D35" s="450"/>
      <c r="E35" s="450"/>
      <c r="F35" s="486"/>
      <c r="G35" s="450"/>
      <c r="H35" s="450"/>
      <c r="I35" s="450"/>
      <c r="J35" s="450"/>
      <c r="K35" s="450"/>
      <c r="L35" s="450"/>
      <c r="M35" s="450"/>
      <c r="N35" s="450"/>
      <c r="O35" s="450"/>
      <c r="P35" s="450"/>
      <c r="Q35" s="469"/>
      <c r="R35" s="371"/>
      <c r="S35" s="330"/>
      <c r="T35" s="415"/>
    </row>
    <row r="36" spans="1:20" ht="14.25" hidden="1" thickTop="1" thickBot="1">
      <c r="A36" s="400">
        <v>19.5</v>
      </c>
      <c r="B36" s="449"/>
      <c r="C36" s="450"/>
      <c r="D36" s="450"/>
      <c r="E36" s="450"/>
      <c r="F36" s="486"/>
      <c r="G36" s="450"/>
      <c r="H36" s="450"/>
      <c r="I36" s="450"/>
      <c r="J36" s="450"/>
      <c r="K36" s="450"/>
      <c r="L36" s="450"/>
      <c r="M36" s="450"/>
      <c r="N36" s="450"/>
      <c r="O36" s="450"/>
      <c r="P36" s="450"/>
      <c r="Q36" s="469"/>
      <c r="R36" s="371"/>
      <c r="S36" s="330"/>
      <c r="T36" s="415"/>
    </row>
    <row r="37" spans="1:20" ht="14.25" hidden="1" thickTop="1" thickBot="1">
      <c r="A37" s="400">
        <v>20</v>
      </c>
      <c r="B37" s="437"/>
      <c r="C37" s="438"/>
      <c r="D37" s="438"/>
      <c r="E37" s="438"/>
      <c r="F37" s="488"/>
      <c r="G37" s="438"/>
      <c r="H37" s="438"/>
      <c r="I37" s="438"/>
      <c r="J37" s="438"/>
      <c r="K37" s="438"/>
      <c r="L37" s="438"/>
      <c r="M37" s="438"/>
      <c r="N37" s="438"/>
      <c r="O37" s="438"/>
      <c r="P37" s="438"/>
      <c r="Q37" s="441"/>
      <c r="R37" s="371"/>
      <c r="S37" s="330"/>
      <c r="T37" s="415"/>
    </row>
    <row r="38" spans="1:20" ht="14.25" hidden="1" thickTop="1" thickBot="1">
      <c r="A38" s="403">
        <v>20</v>
      </c>
      <c r="B38" s="467"/>
      <c r="C38" s="468"/>
      <c r="D38" s="468"/>
      <c r="E38" s="468"/>
      <c r="F38" s="493"/>
      <c r="G38" s="468"/>
      <c r="H38" s="468"/>
      <c r="I38" s="468"/>
      <c r="J38" s="468"/>
      <c r="K38" s="468"/>
      <c r="L38" s="468"/>
      <c r="M38" s="468"/>
      <c r="N38" s="468"/>
      <c r="O38" s="468"/>
      <c r="P38" s="468"/>
      <c r="Q38" s="478"/>
      <c r="R38" s="494"/>
      <c r="S38" s="330"/>
      <c r="T38" s="415"/>
    </row>
    <row r="39" spans="1:20" ht="14.25" hidden="1" thickTop="1" thickBot="1">
      <c r="A39" s="399">
        <v>20</v>
      </c>
      <c r="B39" s="442"/>
      <c r="C39" s="443"/>
      <c r="D39" s="443"/>
      <c r="E39" s="443"/>
      <c r="F39" s="443"/>
      <c r="G39" s="443"/>
      <c r="H39" s="443"/>
      <c r="I39" s="443"/>
      <c r="J39" s="443"/>
      <c r="K39" s="443"/>
      <c r="L39" s="443"/>
      <c r="M39" s="443"/>
      <c r="N39" s="443"/>
      <c r="O39" s="443"/>
      <c r="P39" s="443"/>
      <c r="Q39" s="446"/>
      <c r="R39" s="355">
        <f>COUNT(B31:Q39)</f>
        <v>0</v>
      </c>
      <c r="S39" s="346">
        <f>AVERAGE(R39/R106%/100)</f>
        <v>0</v>
      </c>
      <c r="T39" s="415">
        <f>R39*S31</f>
        <v>0</v>
      </c>
    </row>
    <row r="40" spans="1:20" ht="14.25" hidden="1" thickTop="1" thickBot="1">
      <c r="A40" s="404">
        <v>20.5</v>
      </c>
      <c r="B40" s="459"/>
      <c r="C40" s="461"/>
      <c r="D40" s="461"/>
      <c r="E40" s="461"/>
      <c r="F40" s="461"/>
      <c r="G40" s="461"/>
      <c r="H40" s="461"/>
      <c r="I40" s="461"/>
      <c r="J40" s="461"/>
      <c r="K40" s="461"/>
      <c r="L40" s="461"/>
      <c r="M40" s="461"/>
      <c r="N40" s="461"/>
      <c r="O40" s="461"/>
      <c r="P40" s="461"/>
      <c r="Q40" s="466"/>
      <c r="R40" s="347">
        <f>IF(R45=0,0,(SUM(B40:Q45)/R45))</f>
        <v>0</v>
      </c>
      <c r="S40" s="362" t="s">
        <v>203</v>
      </c>
      <c r="T40" s="415"/>
    </row>
    <row r="41" spans="1:20" ht="12.75" hidden="1" customHeight="1">
      <c r="A41" s="400">
        <v>20.5</v>
      </c>
      <c r="B41" s="447"/>
      <c r="C41" s="438"/>
      <c r="D41" s="438"/>
      <c r="E41" s="438"/>
      <c r="F41" s="438"/>
      <c r="G41" s="438"/>
      <c r="H41" s="438"/>
      <c r="I41" s="438"/>
      <c r="J41" s="438"/>
      <c r="K41" s="438"/>
      <c r="L41" s="438"/>
      <c r="M41" s="438"/>
      <c r="N41" s="438"/>
      <c r="O41" s="438"/>
      <c r="P41" s="438"/>
      <c r="Q41" s="441"/>
      <c r="R41" s="351"/>
      <c r="S41" s="479"/>
      <c r="T41" s="415"/>
    </row>
    <row r="42" spans="1:20" ht="14.25" hidden="1" thickTop="1" thickBot="1">
      <c r="A42" s="400">
        <v>20.5</v>
      </c>
      <c r="B42" s="447"/>
      <c r="C42" s="438"/>
      <c r="D42" s="438"/>
      <c r="E42" s="438"/>
      <c r="F42" s="438"/>
      <c r="G42" s="438"/>
      <c r="H42" s="438"/>
      <c r="I42" s="438"/>
      <c r="J42" s="438"/>
      <c r="K42" s="438"/>
      <c r="L42" s="438"/>
      <c r="M42" s="438"/>
      <c r="N42" s="438"/>
      <c r="O42" s="438"/>
      <c r="P42" s="438"/>
      <c r="Q42" s="441"/>
      <c r="R42" s="351"/>
      <c r="S42" s="479"/>
      <c r="T42" s="415"/>
    </row>
    <row r="43" spans="1:20" ht="14.25" hidden="1" thickTop="1" thickBot="1">
      <c r="A43" s="400">
        <v>21</v>
      </c>
      <c r="B43" s="447"/>
      <c r="C43" s="438"/>
      <c r="D43" s="438"/>
      <c r="E43" s="438"/>
      <c r="F43" s="438"/>
      <c r="G43" s="438"/>
      <c r="H43" s="438"/>
      <c r="I43" s="438"/>
      <c r="J43" s="438"/>
      <c r="K43" s="438"/>
      <c r="L43" s="438"/>
      <c r="M43" s="438"/>
      <c r="N43" s="438"/>
      <c r="O43" s="438"/>
      <c r="P43" s="438"/>
      <c r="Q43" s="441"/>
      <c r="R43" s="351"/>
      <c r="S43" s="479"/>
      <c r="T43" s="415"/>
    </row>
    <row r="44" spans="1:20" ht="14.25" hidden="1" thickTop="1" thickBot="1">
      <c r="A44" s="400">
        <v>21</v>
      </c>
      <c r="B44" s="437"/>
      <c r="C44" s="438"/>
      <c r="D44" s="438"/>
      <c r="E44" s="438"/>
      <c r="F44" s="438"/>
      <c r="G44" s="438"/>
      <c r="H44" s="438"/>
      <c r="I44" s="438"/>
      <c r="J44" s="438"/>
      <c r="K44" s="438"/>
      <c r="L44" s="438"/>
      <c r="M44" s="438"/>
      <c r="N44" s="438"/>
      <c r="O44" s="438"/>
      <c r="P44" s="438"/>
      <c r="Q44" s="441"/>
      <c r="R44" s="361"/>
      <c r="S44" s="479"/>
      <c r="T44" s="415"/>
    </row>
    <row r="45" spans="1:20" ht="14.25" hidden="1" thickTop="1" thickBot="1">
      <c r="A45" s="399">
        <v>21</v>
      </c>
      <c r="B45" s="457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80"/>
      <c r="R45" s="363">
        <f>COUNT(B40:Q45)</f>
        <v>0</v>
      </c>
      <c r="S45" s="346">
        <f>AVERAGE(R45/R106%/100)</f>
        <v>0</v>
      </c>
      <c r="T45" s="415">
        <f>R45*S40</f>
        <v>0</v>
      </c>
    </row>
    <row r="46" spans="1:20" ht="13.5" hidden="1" thickTop="1">
      <c r="A46" s="404">
        <v>21.5</v>
      </c>
      <c r="B46" s="460"/>
      <c r="C46" s="461"/>
      <c r="D46" s="461"/>
      <c r="E46" s="461"/>
      <c r="F46" s="461"/>
      <c r="G46" s="461"/>
      <c r="H46" s="461"/>
      <c r="I46" s="461"/>
      <c r="J46" s="461"/>
      <c r="K46" s="461"/>
      <c r="L46" s="461"/>
      <c r="M46" s="461"/>
      <c r="N46" s="461"/>
      <c r="O46" s="461"/>
      <c r="P46" s="461"/>
      <c r="Q46" s="466"/>
      <c r="R46" s="347">
        <f>IF(R56=0,0,(SUM(B46:Q56)/R56))</f>
        <v>0</v>
      </c>
      <c r="S46" s="364">
        <v>8.5</v>
      </c>
      <c r="T46" s="415"/>
    </row>
    <row r="47" spans="1:20" ht="12.75" hidden="1" customHeight="1">
      <c r="A47" s="403">
        <v>21.5</v>
      </c>
      <c r="B47" s="452"/>
      <c r="C47" s="450"/>
      <c r="D47" s="450"/>
      <c r="E47" s="450"/>
      <c r="F47" s="450"/>
      <c r="G47" s="450"/>
      <c r="H47" s="450"/>
      <c r="I47" s="450"/>
      <c r="J47" s="438"/>
      <c r="K47" s="438"/>
      <c r="L47" s="438"/>
      <c r="M47" s="438"/>
      <c r="N47" s="438"/>
      <c r="O47" s="438"/>
      <c r="P47" s="438"/>
      <c r="Q47" s="441"/>
      <c r="R47" s="361"/>
      <c r="S47" s="364"/>
      <c r="T47" s="415"/>
    </row>
    <row r="48" spans="1:20" ht="12.75" hidden="1" customHeight="1">
      <c r="A48" s="403">
        <v>21.5</v>
      </c>
      <c r="B48" s="452"/>
      <c r="C48" s="450"/>
      <c r="D48" s="450"/>
      <c r="E48" s="450"/>
      <c r="F48" s="450"/>
      <c r="G48" s="450"/>
      <c r="H48" s="450"/>
      <c r="I48" s="450"/>
      <c r="J48" s="438"/>
      <c r="K48" s="438"/>
      <c r="L48" s="438"/>
      <c r="M48" s="438"/>
      <c r="N48" s="438"/>
      <c r="O48" s="438"/>
      <c r="P48" s="438"/>
      <c r="Q48" s="441"/>
      <c r="R48" s="361"/>
      <c r="S48" s="364"/>
      <c r="T48" s="415"/>
    </row>
    <row r="49" spans="1:20" hidden="1">
      <c r="A49" s="403">
        <v>21.5</v>
      </c>
      <c r="B49" s="452"/>
      <c r="C49" s="450"/>
      <c r="D49" s="450"/>
      <c r="E49" s="450"/>
      <c r="F49" s="450"/>
      <c r="G49" s="450"/>
      <c r="H49" s="450"/>
      <c r="I49" s="450"/>
      <c r="J49" s="438"/>
      <c r="K49" s="438"/>
      <c r="L49" s="438"/>
      <c r="M49" s="438"/>
      <c r="N49" s="438"/>
      <c r="O49" s="438"/>
      <c r="P49" s="438"/>
      <c r="Q49" s="441"/>
      <c r="R49" s="361"/>
      <c r="S49" s="364"/>
      <c r="T49" s="415"/>
    </row>
    <row r="50" spans="1:20" hidden="1">
      <c r="A50" s="403">
        <v>21.5</v>
      </c>
      <c r="B50" s="452"/>
      <c r="C50" s="450"/>
      <c r="D50" s="450"/>
      <c r="E50" s="450"/>
      <c r="F50" s="450"/>
      <c r="G50" s="450"/>
      <c r="H50" s="450"/>
      <c r="I50" s="450"/>
      <c r="J50" s="438"/>
      <c r="K50" s="438"/>
      <c r="L50" s="438"/>
      <c r="M50" s="438"/>
      <c r="N50" s="438"/>
      <c r="O50" s="438"/>
      <c r="P50" s="438"/>
      <c r="Q50" s="441"/>
      <c r="R50" s="361"/>
      <c r="S50" s="364"/>
      <c r="T50" s="415"/>
    </row>
    <row r="51" spans="1:20" hidden="1">
      <c r="A51" s="403">
        <v>22</v>
      </c>
      <c r="B51" s="452"/>
      <c r="C51" s="450"/>
      <c r="D51" s="450"/>
      <c r="E51" s="450"/>
      <c r="F51" s="450"/>
      <c r="G51" s="450"/>
      <c r="H51" s="450"/>
      <c r="I51" s="450"/>
      <c r="J51" s="438"/>
      <c r="K51" s="438"/>
      <c r="L51" s="438"/>
      <c r="M51" s="438"/>
      <c r="N51" s="438"/>
      <c r="O51" s="438"/>
      <c r="P51" s="438"/>
      <c r="Q51" s="441"/>
      <c r="R51" s="361"/>
      <c r="S51" s="364"/>
      <c r="T51" s="415"/>
    </row>
    <row r="52" spans="1:20" hidden="1">
      <c r="A52" s="403">
        <v>22</v>
      </c>
      <c r="B52" s="449"/>
      <c r="C52" s="450"/>
      <c r="D52" s="450"/>
      <c r="E52" s="450"/>
      <c r="F52" s="450"/>
      <c r="G52" s="317"/>
      <c r="H52" s="317"/>
      <c r="I52" s="317"/>
      <c r="J52" s="450"/>
      <c r="K52" s="450"/>
      <c r="L52" s="450"/>
      <c r="M52" s="450"/>
      <c r="N52" s="450"/>
      <c r="O52" s="450"/>
      <c r="P52" s="450"/>
      <c r="Q52" s="469"/>
      <c r="R52" s="365"/>
      <c r="S52" s="339"/>
      <c r="T52" s="415"/>
    </row>
    <row r="53" spans="1:20" hidden="1">
      <c r="A53" s="403">
        <v>22</v>
      </c>
      <c r="B53" s="449"/>
      <c r="C53" s="450"/>
      <c r="D53" s="450"/>
      <c r="E53" s="450"/>
      <c r="F53" s="450"/>
      <c r="G53" s="394"/>
      <c r="H53" s="394"/>
      <c r="I53" s="394"/>
      <c r="J53" s="471"/>
      <c r="K53" s="471"/>
      <c r="L53" s="471"/>
      <c r="M53" s="471"/>
      <c r="N53" s="471"/>
      <c r="O53" s="471"/>
      <c r="P53" s="471"/>
      <c r="Q53" s="472"/>
      <c r="R53" s="372"/>
      <c r="S53" s="330"/>
      <c r="T53" s="415"/>
    </row>
    <row r="54" spans="1:20" hidden="1">
      <c r="A54" s="403">
        <v>22</v>
      </c>
      <c r="B54" s="452"/>
      <c r="C54" s="450"/>
      <c r="D54" s="450"/>
      <c r="E54" s="450"/>
      <c r="F54" s="450"/>
      <c r="G54" s="317"/>
      <c r="H54" s="317"/>
      <c r="I54" s="317"/>
      <c r="J54" s="450"/>
      <c r="K54" s="450"/>
      <c r="L54" s="450"/>
      <c r="M54" s="450"/>
      <c r="N54" s="450"/>
      <c r="O54" s="450"/>
      <c r="P54" s="450"/>
      <c r="Q54" s="469"/>
      <c r="R54" s="372"/>
      <c r="S54" s="330"/>
      <c r="T54" s="415"/>
    </row>
    <row r="55" spans="1:20" hidden="1">
      <c r="A55" s="403">
        <v>22.5</v>
      </c>
      <c r="B55" s="467"/>
      <c r="C55" s="468"/>
      <c r="D55" s="468"/>
      <c r="E55" s="468"/>
      <c r="F55" s="468"/>
      <c r="G55" s="481"/>
      <c r="H55" s="481"/>
      <c r="I55" s="481"/>
      <c r="J55" s="468"/>
      <c r="K55" s="468"/>
      <c r="L55" s="468"/>
      <c r="M55" s="468"/>
      <c r="N55" s="468"/>
      <c r="O55" s="468"/>
      <c r="P55" s="468"/>
      <c r="Q55" s="478"/>
      <c r="R55" s="374"/>
      <c r="S55" s="330"/>
      <c r="T55" s="415"/>
    </row>
    <row r="56" spans="1:20" ht="13.5" hidden="1" thickBot="1">
      <c r="A56" s="399">
        <v>22.5</v>
      </c>
      <c r="B56" s="442"/>
      <c r="C56" s="443"/>
      <c r="D56" s="443"/>
      <c r="E56" s="443"/>
      <c r="F56" s="443"/>
      <c r="G56" s="443"/>
      <c r="H56" s="443"/>
      <c r="I56" s="443"/>
      <c r="J56" s="443"/>
      <c r="K56" s="443"/>
      <c r="L56" s="443"/>
      <c r="M56" s="443"/>
      <c r="N56" s="443"/>
      <c r="O56" s="443"/>
      <c r="P56" s="443"/>
      <c r="Q56" s="446"/>
      <c r="R56" s="363">
        <f>COUNT(B46:Q56)</f>
        <v>0</v>
      </c>
      <c r="S56" s="346">
        <f>AVERAGE(R56/R106%/100)</f>
        <v>0</v>
      </c>
      <c r="T56" s="415">
        <f>R56*S46</f>
        <v>0</v>
      </c>
    </row>
    <row r="57" spans="1:20" ht="13.5" thickTop="1">
      <c r="A57" s="404">
        <v>23</v>
      </c>
      <c r="B57" s="460"/>
      <c r="C57" s="461"/>
      <c r="D57" s="461"/>
      <c r="E57" s="461"/>
      <c r="F57" s="461"/>
      <c r="G57" s="461"/>
      <c r="H57" s="461"/>
      <c r="I57" s="461"/>
      <c r="J57" s="461"/>
      <c r="K57" s="461"/>
      <c r="L57" s="461"/>
      <c r="M57" s="461"/>
      <c r="N57" s="461"/>
      <c r="O57" s="461"/>
      <c r="P57" s="461"/>
      <c r="Q57" s="466"/>
      <c r="R57" s="370"/>
      <c r="S57" s="366" t="s">
        <v>204</v>
      </c>
      <c r="T57" s="415"/>
    </row>
    <row r="58" spans="1:20">
      <c r="A58" s="403">
        <v>23</v>
      </c>
      <c r="B58" s="449"/>
      <c r="C58" s="450"/>
      <c r="D58" s="450"/>
      <c r="E58" s="450"/>
      <c r="F58" s="450"/>
      <c r="G58" s="450"/>
      <c r="H58" s="450"/>
      <c r="I58" s="450"/>
      <c r="J58" s="450"/>
      <c r="K58" s="450"/>
      <c r="L58" s="450"/>
      <c r="M58" s="450"/>
      <c r="N58" s="450"/>
      <c r="O58" s="450"/>
      <c r="P58" s="450"/>
      <c r="Q58" s="469"/>
      <c r="R58" s="351">
        <f>IF(R60=0,0,(SUM(B57:Q60)/R60))</f>
        <v>0</v>
      </c>
      <c r="S58" s="339"/>
      <c r="T58" s="415"/>
    </row>
    <row r="59" spans="1:20">
      <c r="A59" s="403">
        <v>23.5</v>
      </c>
      <c r="B59" s="437"/>
      <c r="C59" s="438"/>
      <c r="D59" s="438"/>
      <c r="E59" s="438"/>
      <c r="F59" s="438"/>
      <c r="G59" s="438"/>
      <c r="H59" s="438"/>
      <c r="I59" s="438"/>
      <c r="J59" s="450"/>
      <c r="K59" s="450"/>
      <c r="L59" s="450"/>
      <c r="M59" s="450"/>
      <c r="N59" s="450"/>
      <c r="O59" s="450"/>
      <c r="P59" s="450"/>
      <c r="Q59" s="469"/>
      <c r="R59" s="365"/>
      <c r="S59" s="339"/>
      <c r="T59" s="415"/>
    </row>
    <row r="60" spans="1:20" ht="13.5" thickBot="1">
      <c r="A60" s="399">
        <v>23.5</v>
      </c>
      <c r="B60" s="442"/>
      <c r="C60" s="443"/>
      <c r="D60" s="443"/>
      <c r="E60" s="443"/>
      <c r="F60" s="443"/>
      <c r="G60" s="443"/>
      <c r="H60" s="443"/>
      <c r="I60" s="443"/>
      <c r="J60" s="443"/>
      <c r="K60" s="443"/>
      <c r="L60" s="443"/>
      <c r="M60" s="443"/>
      <c r="N60" s="443"/>
      <c r="O60" s="443"/>
      <c r="P60" s="443"/>
      <c r="Q60" s="446"/>
      <c r="R60" s="350">
        <f>COUNT(B57:Q60)</f>
        <v>0</v>
      </c>
      <c r="S60" s="346">
        <f>AVERAGE(R60/R106%/100)</f>
        <v>0</v>
      </c>
      <c r="T60" s="415">
        <f>R60*S57</f>
        <v>0</v>
      </c>
    </row>
    <row r="61" spans="1:20" ht="13.5" thickTop="1">
      <c r="A61" s="404">
        <v>24</v>
      </c>
      <c r="B61" s="452">
        <v>103</v>
      </c>
      <c r="C61" s="450">
        <v>102</v>
      </c>
      <c r="D61" s="450">
        <v>108</v>
      </c>
      <c r="E61" s="450">
        <v>112</v>
      </c>
      <c r="F61" s="450"/>
      <c r="G61" s="450"/>
      <c r="H61" s="450"/>
      <c r="I61" s="450"/>
      <c r="J61" s="450"/>
      <c r="K61" s="450"/>
      <c r="L61" s="450"/>
      <c r="M61" s="450"/>
      <c r="N61" s="450"/>
      <c r="O61" s="450"/>
      <c r="P61" s="461"/>
      <c r="Q61" s="466"/>
      <c r="R61" s="367"/>
      <c r="S61" s="364">
        <v>9.5</v>
      </c>
      <c r="T61" s="415"/>
    </row>
    <row r="62" spans="1:20">
      <c r="A62" s="403">
        <v>24</v>
      </c>
      <c r="B62" s="452"/>
      <c r="C62" s="450"/>
      <c r="D62" s="450"/>
      <c r="E62" s="450"/>
      <c r="F62" s="450"/>
      <c r="G62" s="450"/>
      <c r="H62" s="450"/>
      <c r="I62" s="450"/>
      <c r="J62" s="450"/>
      <c r="K62" s="450"/>
      <c r="L62" s="450"/>
      <c r="M62" s="450"/>
      <c r="N62" s="450"/>
      <c r="O62" s="450"/>
      <c r="P62" s="450"/>
      <c r="Q62" s="469"/>
      <c r="R62" s="351">
        <f>IF(R69=0,0,(SUM(B61:Q69)/R69))</f>
        <v>117.3125</v>
      </c>
      <c r="S62" s="339"/>
      <c r="T62" s="415"/>
    </row>
    <row r="63" spans="1:20">
      <c r="A63" s="403">
        <v>24</v>
      </c>
      <c r="B63" s="452"/>
      <c r="C63" s="450"/>
      <c r="D63" s="450"/>
      <c r="E63" s="450"/>
      <c r="F63" s="450"/>
      <c r="G63" s="450"/>
      <c r="H63" s="450"/>
      <c r="I63" s="450"/>
      <c r="J63" s="450"/>
      <c r="K63" s="450"/>
      <c r="L63" s="450"/>
      <c r="M63" s="450"/>
      <c r="N63" s="450"/>
      <c r="O63" s="450"/>
      <c r="P63" s="450"/>
      <c r="Q63" s="469"/>
      <c r="R63" s="361"/>
      <c r="S63" s="339"/>
      <c r="T63" s="415"/>
    </row>
    <row r="64" spans="1:20">
      <c r="A64" s="403">
        <v>24.5</v>
      </c>
      <c r="B64" s="452">
        <v>118</v>
      </c>
      <c r="C64" s="450">
        <v>119</v>
      </c>
      <c r="D64" s="450">
        <v>106</v>
      </c>
      <c r="E64" s="450">
        <v>126</v>
      </c>
      <c r="F64" s="450">
        <v>114</v>
      </c>
      <c r="G64" s="450"/>
      <c r="H64" s="450"/>
      <c r="I64" s="450"/>
      <c r="J64" s="450"/>
      <c r="K64" s="450"/>
      <c r="L64" s="450"/>
      <c r="M64" s="450"/>
      <c r="N64" s="450"/>
      <c r="O64" s="450"/>
      <c r="P64" s="450"/>
      <c r="Q64" s="469"/>
      <c r="R64" s="365"/>
      <c r="S64" s="339"/>
      <c r="T64" s="415"/>
    </row>
    <row r="65" spans="1:20">
      <c r="A65" s="403">
        <v>24.5</v>
      </c>
      <c r="B65" s="452"/>
      <c r="C65" s="450"/>
      <c r="D65" s="450"/>
      <c r="E65" s="450"/>
      <c r="F65" s="450"/>
      <c r="G65" s="450"/>
      <c r="H65" s="450"/>
      <c r="I65" s="450"/>
      <c r="J65" s="450"/>
      <c r="K65" s="450"/>
      <c r="L65" s="450"/>
      <c r="M65" s="450"/>
      <c r="N65" s="450"/>
      <c r="O65" s="450"/>
      <c r="P65" s="450"/>
      <c r="Q65" s="469"/>
      <c r="R65" s="365"/>
      <c r="S65" s="339"/>
      <c r="T65" s="415"/>
    </row>
    <row r="66" spans="1:20">
      <c r="A66" s="400">
        <v>24.5</v>
      </c>
      <c r="B66" s="452"/>
      <c r="C66" s="450"/>
      <c r="D66" s="450"/>
      <c r="E66" s="450"/>
      <c r="F66" s="450"/>
      <c r="G66" s="450"/>
      <c r="H66" s="450"/>
      <c r="I66" s="450"/>
      <c r="J66" s="450"/>
      <c r="K66" s="450"/>
      <c r="L66" s="450"/>
      <c r="M66" s="450"/>
      <c r="N66" s="450"/>
      <c r="O66" s="450"/>
      <c r="P66" s="450"/>
      <c r="Q66" s="469"/>
      <c r="R66" s="367"/>
      <c r="S66" s="339"/>
      <c r="T66" s="415"/>
    </row>
    <row r="67" spans="1:20">
      <c r="A67" s="400">
        <v>25</v>
      </c>
      <c r="B67" s="452">
        <v>114</v>
      </c>
      <c r="C67" s="450">
        <v>121</v>
      </c>
      <c r="D67" s="450">
        <v>128</v>
      </c>
      <c r="E67" s="450">
        <v>128</v>
      </c>
      <c r="F67" s="450">
        <v>129</v>
      </c>
      <c r="G67" s="450">
        <v>127</v>
      </c>
      <c r="H67" s="450">
        <v>122</v>
      </c>
      <c r="I67" s="450"/>
      <c r="J67" s="450"/>
      <c r="K67" s="450"/>
      <c r="L67" s="450"/>
      <c r="M67" s="450"/>
      <c r="N67" s="450"/>
      <c r="O67" s="450"/>
      <c r="P67" s="450"/>
      <c r="Q67" s="469"/>
      <c r="R67" s="367"/>
      <c r="S67" s="339"/>
      <c r="T67" s="415"/>
    </row>
    <row r="68" spans="1:20">
      <c r="A68" s="400">
        <v>25</v>
      </c>
      <c r="B68" s="452"/>
      <c r="C68" s="450"/>
      <c r="D68" s="450"/>
      <c r="E68" s="450"/>
      <c r="F68" s="450"/>
      <c r="G68" s="450"/>
      <c r="H68" s="450"/>
      <c r="I68" s="450"/>
      <c r="J68" s="450"/>
      <c r="K68" s="450"/>
      <c r="L68" s="450"/>
      <c r="M68" s="450"/>
      <c r="N68" s="450"/>
      <c r="O68" s="450"/>
      <c r="P68" s="450"/>
      <c r="Q68" s="469"/>
      <c r="R68" s="374"/>
      <c r="S68" s="330"/>
      <c r="T68" s="415"/>
    </row>
    <row r="69" spans="1:20" ht="13.5" thickBot="1">
      <c r="A69" s="399">
        <v>25</v>
      </c>
      <c r="B69" s="442"/>
      <c r="C69" s="443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443"/>
      <c r="P69" s="443"/>
      <c r="Q69" s="446"/>
      <c r="R69" s="350">
        <f>COUNT(B61:Q69)</f>
        <v>16</v>
      </c>
      <c r="S69" s="346">
        <f>AVERAGE(R69/R106%/100)</f>
        <v>0.10884353741496598</v>
      </c>
      <c r="T69" s="415">
        <f>R69*S61</f>
        <v>152</v>
      </c>
    </row>
    <row r="70" spans="1:20" ht="13.5" thickTop="1">
      <c r="A70" s="404">
        <v>25.5</v>
      </c>
      <c r="B70" s="460">
        <v>128</v>
      </c>
      <c r="C70" s="461">
        <v>126</v>
      </c>
      <c r="D70" s="461">
        <v>131</v>
      </c>
      <c r="E70" s="461">
        <v>129</v>
      </c>
      <c r="F70" s="461">
        <v>133</v>
      </c>
      <c r="G70" s="461">
        <v>136</v>
      </c>
      <c r="H70" s="461">
        <v>125</v>
      </c>
      <c r="I70" s="461">
        <v>125</v>
      </c>
      <c r="J70" s="461">
        <v>133</v>
      </c>
      <c r="K70" s="461">
        <v>122</v>
      </c>
      <c r="L70" s="461">
        <v>139</v>
      </c>
      <c r="M70" s="461">
        <v>127</v>
      </c>
      <c r="N70" s="461">
        <v>131</v>
      </c>
      <c r="O70" s="461">
        <v>118</v>
      </c>
      <c r="P70" s="461">
        <v>139</v>
      </c>
      <c r="Q70" s="466"/>
      <c r="R70" s="367"/>
      <c r="S70" s="366" t="s">
        <v>205</v>
      </c>
      <c r="T70" s="415"/>
    </row>
    <row r="71" spans="1:20">
      <c r="A71" s="400">
        <v>25.5</v>
      </c>
      <c r="B71" s="437"/>
      <c r="C71" s="438"/>
      <c r="D71" s="438"/>
      <c r="E71" s="438"/>
      <c r="F71" s="438"/>
      <c r="G71" s="438"/>
      <c r="H71" s="438"/>
      <c r="I71" s="438"/>
      <c r="J71" s="438"/>
      <c r="K71" s="438"/>
      <c r="L71" s="438"/>
      <c r="M71" s="438"/>
      <c r="N71" s="438"/>
      <c r="O71" s="438"/>
      <c r="P71" s="438"/>
      <c r="Q71" s="441"/>
      <c r="R71" s="367"/>
      <c r="S71" s="366"/>
      <c r="T71" s="415"/>
    </row>
    <row r="72" spans="1:20">
      <c r="A72" s="403">
        <v>26</v>
      </c>
      <c r="B72" s="452">
        <v>129</v>
      </c>
      <c r="C72" s="450">
        <v>143</v>
      </c>
      <c r="D72" s="450">
        <v>137</v>
      </c>
      <c r="E72" s="450">
        <v>137</v>
      </c>
      <c r="F72" s="450">
        <v>141</v>
      </c>
      <c r="G72" s="450">
        <v>120</v>
      </c>
      <c r="H72" s="450">
        <v>138</v>
      </c>
      <c r="I72" s="450">
        <v>151</v>
      </c>
      <c r="J72" s="450">
        <v>131</v>
      </c>
      <c r="K72" s="450">
        <v>137</v>
      </c>
      <c r="L72" s="450">
        <v>135</v>
      </c>
      <c r="M72" s="450">
        <v>141</v>
      </c>
      <c r="N72" s="450">
        <v>134</v>
      </c>
      <c r="O72" s="450">
        <v>122</v>
      </c>
      <c r="P72" s="450">
        <v>147</v>
      </c>
      <c r="Q72" s="469"/>
      <c r="R72" s="351">
        <f>IF(R74=0,0,(SUM(B70:Q74)/R74))</f>
        <v>132.83333333333334</v>
      </c>
      <c r="S72" s="339"/>
      <c r="T72" s="415"/>
    </row>
    <row r="73" spans="1:20">
      <c r="A73" s="403">
        <v>26</v>
      </c>
      <c r="B73" s="452"/>
      <c r="C73" s="450"/>
      <c r="D73" s="450"/>
      <c r="E73" s="450"/>
      <c r="F73" s="450"/>
      <c r="G73" s="450"/>
      <c r="H73" s="450"/>
      <c r="I73" s="450"/>
      <c r="J73" s="450"/>
      <c r="K73" s="450"/>
      <c r="L73" s="450"/>
      <c r="M73" s="450"/>
      <c r="N73" s="450"/>
      <c r="O73" s="450"/>
      <c r="P73" s="450"/>
      <c r="Q73" s="469"/>
      <c r="R73" s="368"/>
      <c r="S73" s="369"/>
      <c r="T73" s="415"/>
    </row>
    <row r="74" spans="1:20" ht="13.5" thickBot="1">
      <c r="A74" s="399">
        <v>26</v>
      </c>
      <c r="B74" s="442"/>
      <c r="C74" s="443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/>
      <c r="O74" s="443"/>
      <c r="P74" s="443"/>
      <c r="Q74" s="446"/>
      <c r="R74" s="363">
        <f>COUNT(B70:Q74)</f>
        <v>30</v>
      </c>
      <c r="S74" s="346">
        <f>AVERAGE(R74/R106%/100)</f>
        <v>0.20408163265306123</v>
      </c>
      <c r="T74" s="415">
        <f>R74*S70</f>
        <v>300</v>
      </c>
    </row>
    <row r="75" spans="1:20" ht="13.5" thickTop="1">
      <c r="A75" s="404">
        <v>26.5</v>
      </c>
      <c r="B75" s="460">
        <v>141</v>
      </c>
      <c r="C75" s="461">
        <v>156</v>
      </c>
      <c r="D75" s="461">
        <v>145</v>
      </c>
      <c r="E75" s="461">
        <v>148</v>
      </c>
      <c r="F75" s="461">
        <v>140</v>
      </c>
      <c r="G75" s="461">
        <v>138</v>
      </c>
      <c r="H75" s="461">
        <v>148</v>
      </c>
      <c r="I75" s="461">
        <v>144</v>
      </c>
      <c r="J75" s="461">
        <v>150</v>
      </c>
      <c r="K75" s="461">
        <v>164</v>
      </c>
      <c r="L75" s="461">
        <v>173</v>
      </c>
      <c r="M75" s="461">
        <v>143</v>
      </c>
      <c r="N75" s="461"/>
      <c r="O75" s="461"/>
      <c r="P75" s="461"/>
      <c r="Q75" s="466"/>
      <c r="R75" s="370"/>
      <c r="S75" s="364">
        <v>10.5</v>
      </c>
      <c r="T75" s="415"/>
    </row>
    <row r="76" spans="1:20">
      <c r="A76" s="403">
        <v>26.5</v>
      </c>
      <c r="B76" s="452"/>
      <c r="C76" s="450"/>
      <c r="D76" s="450"/>
      <c r="E76" s="450"/>
      <c r="F76" s="450"/>
      <c r="G76" s="450"/>
      <c r="H76" s="450"/>
      <c r="I76" s="450"/>
      <c r="J76" s="450"/>
      <c r="K76" s="450"/>
      <c r="L76" s="450"/>
      <c r="M76" s="450"/>
      <c r="N76" s="450"/>
      <c r="O76" s="450"/>
      <c r="P76" s="450"/>
      <c r="Q76" s="469"/>
      <c r="R76" s="351">
        <f>IF(R81=0,0,(SUM(B75:Q81)/R81))</f>
        <v>153.61111111111111</v>
      </c>
      <c r="S76" s="339"/>
      <c r="T76" s="415"/>
    </row>
    <row r="77" spans="1:20">
      <c r="A77" s="403">
        <v>27</v>
      </c>
      <c r="B77" s="452">
        <v>162</v>
      </c>
      <c r="C77" s="450">
        <v>150</v>
      </c>
      <c r="D77" s="450">
        <v>151</v>
      </c>
      <c r="E77" s="450">
        <v>167</v>
      </c>
      <c r="F77" s="450">
        <v>155</v>
      </c>
      <c r="G77" s="450">
        <v>148</v>
      </c>
      <c r="H77" s="450">
        <v>143</v>
      </c>
      <c r="I77" s="450">
        <v>160</v>
      </c>
      <c r="J77" s="450">
        <v>144</v>
      </c>
      <c r="K77" s="450">
        <v>150</v>
      </c>
      <c r="L77" s="450">
        <v>157</v>
      </c>
      <c r="M77" s="450">
        <v>149</v>
      </c>
      <c r="N77" s="450">
        <v>150</v>
      </c>
      <c r="O77" s="450">
        <v>153</v>
      </c>
      <c r="P77" s="450">
        <v>155</v>
      </c>
      <c r="Q77" s="469">
        <v>160</v>
      </c>
      <c r="R77" s="372"/>
      <c r="S77" s="339"/>
      <c r="T77" s="415"/>
    </row>
    <row r="78" spans="1:20">
      <c r="A78" s="403">
        <v>27</v>
      </c>
      <c r="B78" s="452"/>
      <c r="C78" s="450"/>
      <c r="D78" s="450"/>
      <c r="E78" s="450"/>
      <c r="F78" s="450"/>
      <c r="G78" s="450"/>
      <c r="H78" s="450"/>
      <c r="I78" s="450"/>
      <c r="J78" s="450"/>
      <c r="K78" s="450"/>
      <c r="L78" s="450"/>
      <c r="M78" s="450"/>
      <c r="N78" s="450"/>
      <c r="O78" s="450"/>
      <c r="P78" s="450"/>
      <c r="R78" s="373"/>
      <c r="S78" s="339"/>
      <c r="T78" s="415"/>
    </row>
    <row r="79" spans="1:20">
      <c r="A79" s="403">
        <v>27</v>
      </c>
      <c r="B79" s="452"/>
      <c r="C79" s="450"/>
      <c r="D79" s="450"/>
      <c r="E79" s="450"/>
      <c r="F79" s="450"/>
      <c r="G79" s="450"/>
      <c r="H79" s="450"/>
      <c r="I79" s="450"/>
      <c r="J79" s="450"/>
      <c r="K79" s="450"/>
      <c r="L79" s="450"/>
      <c r="M79" s="450"/>
      <c r="N79" s="450"/>
      <c r="O79" s="450"/>
      <c r="P79" s="450"/>
      <c r="Q79" s="469"/>
      <c r="R79" s="373"/>
      <c r="S79" s="339"/>
      <c r="T79" s="415"/>
    </row>
    <row r="80" spans="1:20">
      <c r="A80" s="403">
        <v>27.5</v>
      </c>
      <c r="B80" s="470">
        <v>167</v>
      </c>
      <c r="C80" s="471">
        <v>159</v>
      </c>
      <c r="D80" s="471">
        <v>159</v>
      </c>
      <c r="E80" s="471">
        <v>167</v>
      </c>
      <c r="F80" s="471">
        <v>162</v>
      </c>
      <c r="G80" s="471">
        <v>162</v>
      </c>
      <c r="H80" s="471">
        <v>150</v>
      </c>
      <c r="I80" s="471">
        <v>160</v>
      </c>
      <c r="J80" s="471"/>
      <c r="K80" s="471"/>
      <c r="L80" s="471"/>
      <c r="M80" s="471"/>
      <c r="N80" s="471"/>
      <c r="O80" s="471"/>
      <c r="P80" s="471"/>
      <c r="Q80" s="472"/>
      <c r="R80" s="372"/>
      <c r="S80" s="330"/>
      <c r="T80" s="415"/>
    </row>
    <row r="81" spans="1:20" ht="14.25" customHeight="1" thickBot="1">
      <c r="A81" s="399">
        <v>27.5</v>
      </c>
      <c r="B81" s="442"/>
      <c r="C81" s="443"/>
      <c r="D81" s="443"/>
      <c r="E81" s="443"/>
      <c r="F81" s="443"/>
      <c r="G81" s="443"/>
      <c r="H81" s="443"/>
      <c r="I81" s="443"/>
      <c r="J81" s="443"/>
      <c r="K81" s="443"/>
      <c r="L81" s="443"/>
      <c r="M81" s="443"/>
      <c r="N81" s="443"/>
      <c r="O81" s="443"/>
      <c r="P81" s="443"/>
      <c r="Q81" s="446"/>
      <c r="R81" s="363">
        <f>COUNT(B75:Q81)</f>
        <v>36</v>
      </c>
      <c r="S81" s="346">
        <f>AVERAGE(R81/R106%/100)</f>
        <v>0.24489795918367346</v>
      </c>
      <c r="T81" s="415">
        <f>R81*S75</f>
        <v>378</v>
      </c>
    </row>
    <row r="82" spans="1:20" ht="13.5" thickTop="1">
      <c r="A82" s="404">
        <v>28</v>
      </c>
      <c r="B82" s="460">
        <v>184</v>
      </c>
      <c r="C82" s="461">
        <v>166</v>
      </c>
      <c r="D82" s="461">
        <v>167</v>
      </c>
      <c r="E82" s="461">
        <v>173</v>
      </c>
      <c r="F82" s="461">
        <v>172</v>
      </c>
      <c r="G82" s="461">
        <v>176</v>
      </c>
      <c r="H82" s="461">
        <v>173</v>
      </c>
      <c r="I82" s="461">
        <v>172</v>
      </c>
      <c r="J82" s="461">
        <v>171</v>
      </c>
      <c r="K82" s="461">
        <v>189</v>
      </c>
      <c r="L82" s="461">
        <v>177</v>
      </c>
      <c r="M82" s="461">
        <v>158</v>
      </c>
      <c r="N82" s="461">
        <v>177</v>
      </c>
      <c r="O82" s="461">
        <v>168</v>
      </c>
      <c r="P82" s="461">
        <v>179</v>
      </c>
      <c r="Q82" s="466">
        <v>168</v>
      </c>
      <c r="R82" s="370"/>
      <c r="S82" s="476" t="s">
        <v>206</v>
      </c>
      <c r="T82" s="415"/>
    </row>
    <row r="83" spans="1:20">
      <c r="A83" s="403">
        <v>28</v>
      </c>
      <c r="B83" s="452">
        <v>170</v>
      </c>
      <c r="C83" s="450">
        <v>163</v>
      </c>
      <c r="D83" s="450">
        <v>160</v>
      </c>
      <c r="E83" s="450"/>
      <c r="F83" s="450"/>
      <c r="G83" s="450"/>
      <c r="H83" s="450"/>
      <c r="I83" s="450"/>
      <c r="J83" s="450"/>
      <c r="K83" s="450"/>
      <c r="L83" s="450"/>
      <c r="M83" s="450"/>
      <c r="N83" s="450"/>
      <c r="O83" s="450"/>
      <c r="P83" s="450"/>
      <c r="Q83" s="469"/>
      <c r="R83" s="371">
        <f>IF(R85=0,0,(SUM(B82:Q85)/R85))</f>
        <v>173.13793103448276</v>
      </c>
      <c r="S83" s="339"/>
      <c r="T83" s="415"/>
    </row>
    <row r="84" spans="1:20">
      <c r="A84" s="403">
        <v>28.5</v>
      </c>
      <c r="B84" s="452">
        <v>173</v>
      </c>
      <c r="C84" s="450">
        <v>177</v>
      </c>
      <c r="D84" s="450">
        <v>179</v>
      </c>
      <c r="E84" s="450">
        <v>187</v>
      </c>
      <c r="F84" s="450">
        <v>182</v>
      </c>
      <c r="G84" s="450">
        <v>179</v>
      </c>
      <c r="H84" s="450">
        <v>171</v>
      </c>
      <c r="I84" s="450">
        <v>166</v>
      </c>
      <c r="J84" s="450">
        <v>166</v>
      </c>
      <c r="K84" s="450">
        <v>178</v>
      </c>
      <c r="L84" s="450"/>
      <c r="M84" s="450"/>
      <c r="N84" s="450"/>
      <c r="O84" s="450"/>
      <c r="P84" s="450"/>
      <c r="Q84" s="469"/>
      <c r="R84" s="373"/>
      <c r="S84" s="339"/>
      <c r="T84" s="415"/>
    </row>
    <row r="85" spans="1:20" ht="13.5" thickBot="1">
      <c r="A85" s="399">
        <v>28.5</v>
      </c>
      <c r="B85" s="442"/>
      <c r="C85" s="443"/>
      <c r="D85" s="443"/>
      <c r="E85" s="443"/>
      <c r="F85" s="443"/>
      <c r="G85" s="443"/>
      <c r="H85" s="443"/>
      <c r="I85" s="443"/>
      <c r="J85" s="443"/>
      <c r="K85" s="443"/>
      <c r="L85" s="443"/>
      <c r="M85" s="443"/>
      <c r="N85" s="443"/>
      <c r="O85" s="443"/>
      <c r="P85" s="443"/>
      <c r="Q85" s="446"/>
      <c r="R85" s="363">
        <f>COUNT(B82:Q85)</f>
        <v>29</v>
      </c>
      <c r="S85" s="346">
        <f>AVERAGE(R85/R106%/100)</f>
        <v>0.19727891156462588</v>
      </c>
      <c r="T85" s="415">
        <f>R85*S82</f>
        <v>319</v>
      </c>
    </row>
    <row r="86" spans="1:20" ht="13.5" thickTop="1">
      <c r="A86" s="404">
        <v>29</v>
      </c>
      <c r="B86" s="452">
        <v>166</v>
      </c>
      <c r="C86" s="450">
        <v>191</v>
      </c>
      <c r="D86" s="450">
        <v>178</v>
      </c>
      <c r="E86" s="450">
        <v>161</v>
      </c>
      <c r="F86" s="450">
        <v>194</v>
      </c>
      <c r="G86" s="450">
        <v>194</v>
      </c>
      <c r="H86" s="450">
        <v>203</v>
      </c>
      <c r="I86" s="450">
        <v>193</v>
      </c>
      <c r="J86" s="450">
        <v>191</v>
      </c>
      <c r="K86" s="450">
        <v>186</v>
      </c>
      <c r="L86" s="450">
        <v>206</v>
      </c>
      <c r="M86" s="450"/>
      <c r="N86" s="450"/>
      <c r="O86" s="450"/>
      <c r="P86" s="450"/>
      <c r="Q86" s="466"/>
      <c r="R86" s="370"/>
      <c r="S86" s="364">
        <v>11.5</v>
      </c>
      <c r="T86" s="415"/>
    </row>
    <row r="87" spans="1:20">
      <c r="A87" s="403">
        <v>29</v>
      </c>
      <c r="B87" s="450"/>
      <c r="C87" s="450"/>
      <c r="D87" s="450"/>
      <c r="E87" s="450"/>
      <c r="F87" s="450"/>
      <c r="G87" s="450"/>
      <c r="H87" s="450"/>
      <c r="I87" s="450"/>
      <c r="J87" s="450"/>
      <c r="K87" s="450"/>
      <c r="L87" s="450"/>
      <c r="M87" s="450"/>
      <c r="N87" s="450"/>
      <c r="O87" s="450"/>
      <c r="P87" s="450"/>
      <c r="Q87" s="469"/>
      <c r="R87" s="371">
        <f>IF(R91=0,0,(SUM(B86:Q91)/R91))</f>
        <v>196.63333333333333</v>
      </c>
      <c r="S87" s="339"/>
      <c r="T87" s="415"/>
    </row>
    <row r="88" spans="1:20">
      <c r="A88" s="403">
        <v>29.5</v>
      </c>
      <c r="B88" s="452">
        <v>197</v>
      </c>
      <c r="C88" s="450">
        <v>193</v>
      </c>
      <c r="D88" s="450">
        <v>182</v>
      </c>
      <c r="E88" s="450">
        <v>211</v>
      </c>
      <c r="F88" s="450">
        <v>188</v>
      </c>
      <c r="G88" s="450">
        <v>179</v>
      </c>
      <c r="H88" s="450">
        <v>204</v>
      </c>
      <c r="I88" s="450">
        <v>189</v>
      </c>
      <c r="J88" s="450">
        <v>205</v>
      </c>
      <c r="K88" s="450">
        <v>203</v>
      </c>
      <c r="L88" s="450">
        <v>201</v>
      </c>
      <c r="M88" s="450">
        <v>211</v>
      </c>
      <c r="N88" s="450"/>
      <c r="O88" s="450"/>
      <c r="P88" s="450"/>
      <c r="Q88" s="469"/>
      <c r="R88" s="371"/>
      <c r="S88" s="339"/>
      <c r="T88" s="415"/>
    </row>
    <row r="89" spans="1:20">
      <c r="A89" s="403">
        <v>29.5</v>
      </c>
      <c r="B89" s="452"/>
      <c r="C89" s="450"/>
      <c r="D89" s="450"/>
      <c r="E89" s="450"/>
      <c r="F89" s="450"/>
      <c r="G89" s="450"/>
      <c r="H89" s="450"/>
      <c r="I89" s="450"/>
      <c r="J89" s="450"/>
      <c r="K89" s="450"/>
      <c r="L89" s="450"/>
      <c r="M89" s="450"/>
      <c r="N89" s="450"/>
      <c r="O89" s="450"/>
      <c r="P89" s="450"/>
      <c r="Q89" s="469"/>
      <c r="R89" s="372"/>
      <c r="S89" s="339"/>
      <c r="T89" s="415"/>
    </row>
    <row r="90" spans="1:20">
      <c r="A90" s="403">
        <v>30</v>
      </c>
      <c r="B90" s="470">
        <v>190</v>
      </c>
      <c r="C90" s="471">
        <v>210</v>
      </c>
      <c r="D90" s="471">
        <v>192</v>
      </c>
      <c r="E90" s="471">
        <v>210</v>
      </c>
      <c r="F90" s="471">
        <v>226</v>
      </c>
      <c r="G90" s="471">
        <v>227</v>
      </c>
      <c r="H90" s="471">
        <v>218</v>
      </c>
      <c r="I90" s="471"/>
      <c r="J90" s="471"/>
      <c r="K90" s="471"/>
      <c r="L90" s="471"/>
      <c r="M90" s="471"/>
      <c r="N90" s="471"/>
      <c r="O90" s="471"/>
      <c r="P90" s="471"/>
      <c r="Q90" s="472"/>
      <c r="R90" s="372"/>
      <c r="S90" s="330"/>
      <c r="T90" s="415"/>
    </row>
    <row r="91" spans="1:20" ht="13.5" thickBot="1">
      <c r="A91" s="399">
        <v>30</v>
      </c>
      <c r="B91" s="442"/>
      <c r="C91" s="443"/>
      <c r="D91" s="443"/>
      <c r="E91" s="443"/>
      <c r="F91" s="443"/>
      <c r="G91" s="443"/>
      <c r="H91" s="443"/>
      <c r="I91" s="443"/>
      <c r="J91" s="443"/>
      <c r="K91" s="443"/>
      <c r="L91" s="443"/>
      <c r="M91" s="443"/>
      <c r="N91" s="443"/>
      <c r="O91" s="443"/>
      <c r="P91" s="443"/>
      <c r="Q91" s="446"/>
      <c r="R91" s="363">
        <f>COUNT(B86:Q91)</f>
        <v>30</v>
      </c>
      <c r="S91" s="346">
        <f>AVERAGE(R91/R106%/100)</f>
        <v>0.20408163265306123</v>
      </c>
      <c r="T91" s="415">
        <f>R91*S86</f>
        <v>345</v>
      </c>
    </row>
    <row r="92" spans="1:20" ht="13.5" thickTop="1">
      <c r="A92" s="404">
        <v>30.5</v>
      </c>
      <c r="B92" s="452">
        <v>223</v>
      </c>
      <c r="C92" s="450">
        <v>209</v>
      </c>
      <c r="D92" s="450">
        <v>231</v>
      </c>
      <c r="E92" s="452">
        <v>206</v>
      </c>
      <c r="F92" s="450"/>
      <c r="G92" s="450"/>
      <c r="H92" s="450"/>
      <c r="I92" s="450"/>
      <c r="J92" s="450"/>
      <c r="K92" s="450"/>
      <c r="L92" s="450"/>
      <c r="M92" s="461"/>
      <c r="N92" s="461"/>
      <c r="O92" s="461"/>
      <c r="P92" s="461"/>
      <c r="Q92" s="466"/>
      <c r="R92" s="370"/>
      <c r="S92" s="362" t="s">
        <v>207</v>
      </c>
      <c r="T92" s="415"/>
    </row>
    <row r="93" spans="1:20">
      <c r="A93" s="400">
        <v>30.5</v>
      </c>
      <c r="B93" s="452"/>
      <c r="C93" s="450"/>
      <c r="D93" s="450"/>
      <c r="E93" s="452"/>
      <c r="F93" s="450"/>
      <c r="G93" s="450"/>
      <c r="H93" s="450"/>
      <c r="I93" s="450"/>
      <c r="J93" s="450"/>
      <c r="K93" s="450"/>
      <c r="L93" s="450"/>
      <c r="M93" s="438"/>
      <c r="N93" s="438"/>
      <c r="O93" s="438"/>
      <c r="P93" s="438"/>
      <c r="Q93" s="441"/>
      <c r="R93" s="373"/>
      <c r="S93" s="362"/>
      <c r="T93" s="415"/>
    </row>
    <row r="94" spans="1:20">
      <c r="A94" s="400">
        <v>31</v>
      </c>
      <c r="B94" s="452">
        <v>238</v>
      </c>
      <c r="C94" s="450">
        <v>232</v>
      </c>
      <c r="D94" s="450"/>
      <c r="E94" s="452"/>
      <c r="F94" s="450"/>
      <c r="G94" s="450"/>
      <c r="H94" s="450"/>
      <c r="I94" s="450"/>
      <c r="J94" s="450"/>
      <c r="K94" s="450"/>
      <c r="L94" s="450"/>
      <c r="M94" s="438"/>
      <c r="N94" s="438"/>
      <c r="O94" s="438"/>
      <c r="P94" s="438"/>
      <c r="Q94" s="441"/>
      <c r="R94" s="373"/>
      <c r="S94" s="362"/>
      <c r="T94" s="415"/>
    </row>
    <row r="95" spans="1:20">
      <c r="A95" s="403">
        <v>31</v>
      </c>
      <c r="B95" s="452"/>
      <c r="C95" s="450"/>
      <c r="D95" s="450"/>
      <c r="E95" s="450"/>
      <c r="F95" s="450"/>
      <c r="G95" s="450"/>
      <c r="H95" s="450"/>
      <c r="I95" s="450"/>
      <c r="J95" s="450"/>
      <c r="K95" s="450"/>
      <c r="L95" s="450"/>
      <c r="M95" s="450"/>
      <c r="N95" s="450"/>
      <c r="O95" s="450"/>
      <c r="P95" s="450"/>
      <c r="Q95" s="469"/>
      <c r="R95" s="371"/>
      <c r="S95" s="339"/>
      <c r="T95" s="415"/>
    </row>
    <row r="96" spans="1:20" ht="13.5" thickBot="1">
      <c r="A96" s="399">
        <v>31.5</v>
      </c>
      <c r="B96" s="452"/>
      <c r="C96" s="450"/>
      <c r="D96" s="450"/>
      <c r="E96" s="450"/>
      <c r="F96" s="450"/>
      <c r="G96" s="450"/>
      <c r="H96" s="450"/>
      <c r="I96" s="450"/>
      <c r="J96" s="443"/>
      <c r="K96" s="443"/>
      <c r="L96" s="443"/>
      <c r="M96" s="443"/>
      <c r="N96" s="443"/>
      <c r="O96" s="443"/>
      <c r="P96" s="443"/>
      <c r="Q96" s="446"/>
      <c r="R96" s="363">
        <f>COUNT(B92:Q96)</f>
        <v>6</v>
      </c>
      <c r="S96" s="346">
        <f>AVERAGE(R96/R106)</f>
        <v>4.0816326530612242E-2</v>
      </c>
      <c r="T96" s="415">
        <f>R96*S92</f>
        <v>72</v>
      </c>
    </row>
    <row r="97" spans="1:20" ht="13.5" thickTop="1">
      <c r="A97" s="404">
        <v>32</v>
      </c>
      <c r="B97" s="460"/>
      <c r="C97" s="461"/>
      <c r="D97" s="461"/>
      <c r="E97" s="461"/>
      <c r="F97" s="461"/>
      <c r="G97" s="461"/>
      <c r="H97" s="461"/>
      <c r="I97" s="461"/>
      <c r="J97" s="461"/>
      <c r="K97" s="461"/>
      <c r="L97" s="461"/>
      <c r="M97" s="461"/>
      <c r="N97" s="461"/>
      <c r="O97" s="461"/>
      <c r="P97" s="461"/>
      <c r="Q97" s="466"/>
      <c r="R97" s="371">
        <f>IF(R98=0,0,(SUM(B97:Q98)/R98))</f>
        <v>0</v>
      </c>
      <c r="S97" s="364">
        <v>12.5</v>
      </c>
      <c r="T97" s="415"/>
    </row>
    <row r="98" spans="1:20" ht="13.5" thickBot="1">
      <c r="A98" s="399">
        <v>32.5</v>
      </c>
      <c r="B98" s="442"/>
      <c r="C98" s="443"/>
      <c r="D98" s="443"/>
      <c r="E98" s="443"/>
      <c r="F98" s="443"/>
      <c r="G98" s="443"/>
      <c r="H98" s="443"/>
      <c r="I98" s="443"/>
      <c r="J98" s="443"/>
      <c r="K98" s="443"/>
      <c r="L98" s="443"/>
      <c r="M98" s="443"/>
      <c r="N98" s="443"/>
      <c r="O98" s="443"/>
      <c r="P98" s="443"/>
      <c r="Q98" s="446"/>
      <c r="R98" s="363">
        <f>COUNT(B97:Q98)</f>
        <v>0</v>
      </c>
      <c r="S98" s="346">
        <f>AVERAGE(R98/R106%/100)</f>
        <v>0</v>
      </c>
      <c r="T98" s="415">
        <f>R98*S97</f>
        <v>0</v>
      </c>
    </row>
    <row r="99" spans="1:20" ht="14.25" hidden="1" thickTop="1" thickBot="1">
      <c r="A99" s="404">
        <v>33</v>
      </c>
      <c r="B99" s="460"/>
      <c r="C99" s="461"/>
      <c r="D99" s="461"/>
      <c r="E99" s="461"/>
      <c r="F99" s="461"/>
      <c r="G99" s="461"/>
      <c r="H99" s="461"/>
      <c r="I99" s="461"/>
      <c r="J99" s="461"/>
      <c r="K99" s="461"/>
      <c r="L99" s="461"/>
      <c r="M99" s="461"/>
      <c r="N99" s="461"/>
      <c r="O99" s="461"/>
      <c r="P99" s="461"/>
      <c r="Q99" s="466"/>
      <c r="R99" s="370"/>
      <c r="S99" s="362" t="s">
        <v>208</v>
      </c>
      <c r="T99" s="415"/>
    </row>
    <row r="100" spans="1:20" ht="14.25" hidden="1" thickTop="1" thickBot="1">
      <c r="A100" s="403">
        <v>33.5</v>
      </c>
      <c r="B100" s="452"/>
      <c r="C100" s="450"/>
      <c r="D100" s="450"/>
      <c r="E100" s="450"/>
      <c r="F100" s="450"/>
      <c r="G100" s="450"/>
      <c r="H100" s="450"/>
      <c r="I100" s="450"/>
      <c r="J100" s="450"/>
      <c r="K100" s="450"/>
      <c r="L100" s="450"/>
      <c r="M100" s="450"/>
      <c r="N100" s="450"/>
      <c r="O100" s="450"/>
      <c r="P100" s="450"/>
      <c r="Q100" s="469"/>
      <c r="R100" s="371">
        <f>IF(R101=0,0,(SUM(B99:Q101)/R101))</f>
        <v>0</v>
      </c>
      <c r="S100" s="339"/>
      <c r="T100" s="415"/>
    </row>
    <row r="101" spans="1:20" ht="14.25" hidden="1" thickTop="1" thickBot="1">
      <c r="A101" s="399">
        <v>34</v>
      </c>
      <c r="B101" s="442"/>
      <c r="C101" s="443"/>
      <c r="D101" s="443"/>
      <c r="E101" s="443"/>
      <c r="F101" s="443"/>
      <c r="G101" s="443"/>
      <c r="H101" s="443"/>
      <c r="I101" s="443"/>
      <c r="J101" s="443"/>
      <c r="K101" s="443"/>
      <c r="L101" s="443"/>
      <c r="M101" s="443"/>
      <c r="N101" s="443"/>
      <c r="O101" s="443"/>
      <c r="P101" s="443"/>
      <c r="Q101" s="446"/>
      <c r="R101" s="363">
        <f>COUNT(B99:Q101)</f>
        <v>0</v>
      </c>
      <c r="S101" s="346">
        <f>AVERAGE(R101/R106%/100)</f>
        <v>0</v>
      </c>
      <c r="T101" s="415">
        <f>R101*S99</f>
        <v>0</v>
      </c>
    </row>
    <row r="102" spans="1:20" ht="14.25" hidden="1" thickTop="1" thickBot="1">
      <c r="A102" s="404">
        <v>34.5</v>
      </c>
      <c r="B102" s="437"/>
      <c r="C102" s="438"/>
      <c r="D102" s="438"/>
      <c r="E102" s="438"/>
      <c r="F102" s="438"/>
      <c r="G102" s="438"/>
      <c r="H102" s="438"/>
      <c r="I102" s="438"/>
      <c r="J102" s="438"/>
      <c r="K102" s="438"/>
      <c r="L102" s="438"/>
      <c r="M102" s="438"/>
      <c r="N102" s="438"/>
      <c r="O102" s="438"/>
      <c r="P102" s="438"/>
      <c r="Q102" s="441"/>
      <c r="R102" s="347">
        <f>IF(R103=0,0,(SUM(B102:Q103)/R103))</f>
        <v>0</v>
      </c>
      <c r="S102" s="364">
        <v>13.5</v>
      </c>
      <c r="T102" s="415"/>
    </row>
    <row r="103" spans="1:20" ht="14.25" hidden="1" thickTop="1" thickBot="1">
      <c r="A103" s="399">
        <v>35</v>
      </c>
      <c r="B103" s="470"/>
      <c r="C103" s="471"/>
      <c r="D103" s="471"/>
      <c r="E103" s="471"/>
      <c r="F103" s="471"/>
      <c r="G103" s="471"/>
      <c r="H103" s="471"/>
      <c r="I103" s="471"/>
      <c r="J103" s="471"/>
      <c r="K103" s="471"/>
      <c r="L103" s="471"/>
      <c r="M103" s="471"/>
      <c r="N103" s="471"/>
      <c r="O103" s="471"/>
      <c r="P103" s="471"/>
      <c r="Q103" s="472"/>
      <c r="R103" s="374">
        <f>COUNT(B102:Q103)</f>
        <v>0</v>
      </c>
      <c r="S103" s="346">
        <f>AVERAGE(R103/R106%/100)</f>
        <v>0</v>
      </c>
      <c r="T103" s="415">
        <f>R103*S102</f>
        <v>0</v>
      </c>
    </row>
    <row r="104" spans="1:20" ht="14.25" thickTop="1" thickBot="1">
      <c r="A104" s="356"/>
      <c r="B104" s="375"/>
      <c r="C104" s="376"/>
      <c r="D104" s="377"/>
      <c r="E104" s="377"/>
      <c r="F104" s="377"/>
      <c r="G104" s="377"/>
      <c r="H104" s="377"/>
      <c r="I104" s="377"/>
      <c r="J104" s="377"/>
      <c r="K104" s="377"/>
      <c r="L104" s="376"/>
      <c r="M104" s="376"/>
      <c r="N104" s="376"/>
      <c r="O104" s="376"/>
      <c r="P104" s="376"/>
      <c r="Q104" s="378"/>
      <c r="R104" s="359"/>
      <c r="S104" s="379"/>
      <c r="T104" s="407"/>
    </row>
    <row r="105" spans="1:20">
      <c r="A105" s="352"/>
      <c r="B105" s="319"/>
      <c r="C105" s="380"/>
      <c r="D105" s="381" t="s">
        <v>209</v>
      </c>
      <c r="E105" s="382"/>
      <c r="F105" s="382"/>
      <c r="G105" s="383"/>
      <c r="H105" s="406">
        <f>SUM(B15:Q103)</f>
        <v>23651</v>
      </c>
      <c r="I105" s="383" t="s">
        <v>210</v>
      </c>
      <c r="J105" s="383"/>
      <c r="K105" s="384"/>
      <c r="L105" s="319"/>
      <c r="M105" s="317"/>
      <c r="N105" s="317"/>
      <c r="O105" s="317"/>
      <c r="P105" s="317"/>
      <c r="Q105" s="380"/>
      <c r="R105" s="353"/>
      <c r="S105" s="339"/>
      <c r="T105" s="407"/>
    </row>
    <row r="106" spans="1:20" ht="13.5" thickBot="1">
      <c r="A106" s="352"/>
      <c r="B106" s="319"/>
      <c r="C106" s="380"/>
      <c r="D106" s="385"/>
      <c r="H106" s="407"/>
      <c r="K106" s="386"/>
      <c r="L106" s="318"/>
      <c r="M106" s="394"/>
      <c r="N106" s="394"/>
      <c r="O106" s="394"/>
      <c r="P106" s="394"/>
      <c r="Q106" s="408"/>
      <c r="R106" s="355">
        <f>SUM(R103,R101,R98,R96,R91,R85,R81,R74,R69,R60,R56,R45,R39,R30,R26,R21,R16)</f>
        <v>147</v>
      </c>
      <c r="S106" s="346">
        <f>SUM(S103,S101,S98,S96,S91,S85,S81,S74,S69,S60,S56,S45,S39,S30,S26,S16,S21)</f>
        <v>1</v>
      </c>
      <c r="T106" s="407"/>
    </row>
    <row r="107" spans="1:20" ht="13.5" thickTop="1">
      <c r="A107" s="352"/>
      <c r="B107" s="319"/>
      <c r="C107" s="380"/>
      <c r="D107" s="387" t="s">
        <v>211</v>
      </c>
      <c r="E107" s="388"/>
      <c r="F107" s="388"/>
      <c r="G107" s="388"/>
      <c r="H107" s="407">
        <f>AVERAGE(H105/R106)</f>
        <v>160.89115646258503</v>
      </c>
      <c r="I107" t="s">
        <v>210</v>
      </c>
      <c r="L107" s="532"/>
      <c r="M107" s="533"/>
      <c r="N107" s="409"/>
      <c r="O107" s="409"/>
      <c r="P107" s="409"/>
      <c r="Q107" s="392"/>
      <c r="R107" s="393"/>
      <c r="S107" s="330"/>
      <c r="T107" s="407"/>
    </row>
    <row r="108" spans="1:20">
      <c r="A108" s="395"/>
      <c r="B108" s="318"/>
      <c r="C108" s="408"/>
      <c r="D108" s="387"/>
      <c r="E108" s="388"/>
      <c r="F108" s="388"/>
      <c r="G108" s="388"/>
      <c r="H108" s="407"/>
      <c r="L108" s="534"/>
      <c r="M108" s="535"/>
      <c r="N108" s="410"/>
      <c r="O108" s="410"/>
      <c r="P108" s="410"/>
      <c r="Q108" s="411"/>
      <c r="R108" s="393"/>
      <c r="S108" s="330"/>
      <c r="T108" s="407"/>
    </row>
    <row r="109" spans="1:20">
      <c r="A109" s="395"/>
      <c r="B109" s="318"/>
      <c r="C109" s="408"/>
      <c r="D109" s="387" t="s">
        <v>212</v>
      </c>
      <c r="E109" s="388"/>
      <c r="F109" s="388"/>
      <c r="G109" s="388"/>
      <c r="H109" s="407">
        <f>SUM(T16,T21,T26,T30,T39,T45,T56,T60,T69,T74,T81,T85,T91,T96,T98,T101,T103)/R106</f>
        <v>10.653061224489797</v>
      </c>
      <c r="I109" t="s">
        <v>192</v>
      </c>
      <c r="L109" s="534"/>
      <c r="M109" s="535"/>
      <c r="N109" s="410"/>
      <c r="O109" s="410"/>
      <c r="P109" s="410"/>
      <c r="Q109" s="411"/>
      <c r="R109" s="393"/>
      <c r="S109" s="330"/>
      <c r="T109" s="407"/>
    </row>
    <row r="110" spans="1:20" ht="14.25" thickBot="1">
      <c r="A110" s="349"/>
      <c r="B110" s="389"/>
      <c r="C110" s="390"/>
      <c r="D110" s="391"/>
      <c r="E110" s="341"/>
      <c r="F110" s="341"/>
      <c r="G110" s="341"/>
      <c r="H110" s="341"/>
      <c r="I110" s="341"/>
      <c r="J110" s="341"/>
      <c r="K110" s="341"/>
      <c r="L110" s="412"/>
      <c r="M110" s="413"/>
      <c r="N110" s="413"/>
      <c r="O110" s="413"/>
      <c r="P110" s="413"/>
      <c r="Q110" s="414"/>
      <c r="R110" s="389"/>
      <c r="S110" s="434"/>
      <c r="T110" s="407"/>
    </row>
    <row r="111" spans="1:20" ht="13.5" thickTop="1">
      <c r="T111" s="407"/>
    </row>
    <row r="112" spans="1:20">
      <c r="T112" s="407"/>
    </row>
    <row r="113" spans="2:20" ht="27">
      <c r="B113" s="435"/>
      <c r="T113" s="407"/>
    </row>
    <row r="114" spans="2:20">
      <c r="T114" s="407"/>
    </row>
    <row r="115" spans="2:20">
      <c r="T115" s="407"/>
    </row>
    <row r="116" spans="2:20">
      <c r="T116" s="407"/>
    </row>
    <row r="117" spans="2:20">
      <c r="T117" s="407"/>
    </row>
    <row r="118" spans="2:20">
      <c r="T118" s="407"/>
    </row>
    <row r="119" spans="2:20">
      <c r="T119" s="407"/>
    </row>
    <row r="120" spans="2:20">
      <c r="T120" s="407"/>
    </row>
    <row r="121" spans="2:20">
      <c r="T121" s="407"/>
    </row>
    <row r="122" spans="2:20">
      <c r="T122" s="407"/>
    </row>
    <row r="123" spans="2:20">
      <c r="T123" s="407"/>
    </row>
    <row r="124" spans="2:20">
      <c r="T124" s="407"/>
    </row>
    <row r="125" spans="2:20">
      <c r="T125" s="407"/>
    </row>
    <row r="126" spans="2:20">
      <c r="T126" s="407"/>
    </row>
    <row r="127" spans="2:20">
      <c r="T127" s="407"/>
    </row>
    <row r="128" spans="2:20">
      <c r="T128" s="407"/>
    </row>
    <row r="129" spans="20:20">
      <c r="T129" s="407"/>
    </row>
    <row r="130" spans="20:20">
      <c r="T130" s="407"/>
    </row>
    <row r="131" spans="20:20">
      <c r="T131" s="407"/>
    </row>
    <row r="132" spans="20:20">
      <c r="T132" s="407"/>
    </row>
    <row r="133" spans="20:20">
      <c r="T133" s="407"/>
    </row>
    <row r="134" spans="20:20">
      <c r="T134" s="407"/>
    </row>
    <row r="135" spans="20:20">
      <c r="T135" s="407"/>
    </row>
    <row r="136" spans="20:20">
      <c r="T136" s="407"/>
    </row>
    <row r="137" spans="20:20">
      <c r="T137" s="407"/>
    </row>
    <row r="138" spans="20:20">
      <c r="T138" s="407"/>
    </row>
    <row r="139" spans="20:20">
      <c r="T139" s="407"/>
    </row>
    <row r="140" spans="20:20">
      <c r="T140" s="407"/>
    </row>
    <row r="141" spans="20:20">
      <c r="T141" s="407"/>
    </row>
    <row r="142" spans="20:20">
      <c r="T142" s="407"/>
    </row>
    <row r="143" spans="20:20">
      <c r="T143" s="407"/>
    </row>
    <row r="144" spans="20:20">
      <c r="T144" s="407"/>
    </row>
    <row r="145" spans="20:20">
      <c r="T145" s="407"/>
    </row>
    <row r="146" spans="20:20">
      <c r="T146" s="407"/>
    </row>
    <row r="147" spans="20:20">
      <c r="T147" s="407"/>
    </row>
    <row r="148" spans="20:20">
      <c r="T148" s="407"/>
    </row>
    <row r="149" spans="20:20">
      <c r="T149" s="407"/>
    </row>
    <row r="150" spans="20:20">
      <c r="T150" s="407"/>
    </row>
    <row r="151" spans="20:20">
      <c r="T151" s="407"/>
    </row>
    <row r="152" spans="20:20">
      <c r="T152" s="407"/>
    </row>
    <row r="153" spans="20:20">
      <c r="T153" s="407"/>
    </row>
    <row r="154" spans="20:20">
      <c r="T154" s="407"/>
    </row>
    <row r="155" spans="20:20">
      <c r="T155" s="407"/>
    </row>
    <row r="156" spans="20:20">
      <c r="T156" s="407"/>
    </row>
    <row r="157" spans="20:20">
      <c r="T157" s="407"/>
    </row>
    <row r="158" spans="20:20">
      <c r="T158" s="407"/>
    </row>
    <row r="159" spans="20:20">
      <c r="T159" s="407"/>
    </row>
    <row r="160" spans="20:20">
      <c r="T160" s="407"/>
    </row>
    <row r="161" spans="20:20">
      <c r="T161" s="407"/>
    </row>
    <row r="162" spans="20:20">
      <c r="T162" s="407"/>
    </row>
    <row r="163" spans="20:20">
      <c r="T163" s="407"/>
    </row>
    <row r="164" spans="20:20">
      <c r="T164" s="407"/>
    </row>
    <row r="165" spans="20:20">
      <c r="T165" s="407"/>
    </row>
    <row r="166" spans="20:20">
      <c r="T166" s="407"/>
    </row>
    <row r="167" spans="20:20">
      <c r="T167" s="407"/>
    </row>
    <row r="168" spans="20:20">
      <c r="T168" s="407"/>
    </row>
    <row r="169" spans="20:20">
      <c r="T169" s="407"/>
    </row>
    <row r="170" spans="20:20">
      <c r="T170" s="407"/>
    </row>
    <row r="171" spans="20:20">
      <c r="T171" s="407"/>
    </row>
    <row r="172" spans="20:20">
      <c r="T172" s="407"/>
    </row>
    <row r="173" spans="20:20">
      <c r="T173" s="407"/>
    </row>
    <row r="174" spans="20:20">
      <c r="T174" s="407"/>
    </row>
    <row r="175" spans="20:20">
      <c r="T175" s="407"/>
    </row>
    <row r="176" spans="20:20">
      <c r="T176" s="407"/>
    </row>
    <row r="177" spans="20:20">
      <c r="T177" s="407"/>
    </row>
    <row r="178" spans="20:20">
      <c r="T178" s="407"/>
    </row>
    <row r="179" spans="20:20">
      <c r="T179" s="407"/>
    </row>
    <row r="180" spans="20:20">
      <c r="T180" s="407"/>
    </row>
    <row r="181" spans="20:20">
      <c r="T181" s="407"/>
    </row>
    <row r="182" spans="20:20">
      <c r="T182" s="407"/>
    </row>
    <row r="183" spans="20:20">
      <c r="T183" s="407"/>
    </row>
    <row r="184" spans="20:20">
      <c r="T184" s="407"/>
    </row>
    <row r="185" spans="20:20">
      <c r="T185" s="407"/>
    </row>
    <row r="186" spans="20:20">
      <c r="T186" s="407"/>
    </row>
    <row r="187" spans="20:20">
      <c r="T187" s="407"/>
    </row>
    <row r="188" spans="20:20">
      <c r="T188" s="407"/>
    </row>
    <row r="189" spans="20:20">
      <c r="T189" s="407"/>
    </row>
    <row r="190" spans="20:20">
      <c r="T190" s="407"/>
    </row>
    <row r="191" spans="20:20">
      <c r="T191" s="407"/>
    </row>
    <row r="192" spans="20:20">
      <c r="T192" s="407"/>
    </row>
    <row r="193" spans="20:20">
      <c r="T193" s="407"/>
    </row>
    <row r="194" spans="20:20">
      <c r="T194" s="407"/>
    </row>
    <row r="195" spans="20:20">
      <c r="T195" s="407"/>
    </row>
    <row r="196" spans="20:20">
      <c r="T196" s="407"/>
    </row>
    <row r="197" spans="20:20">
      <c r="T197" s="407"/>
    </row>
    <row r="198" spans="20:20">
      <c r="T198" s="407"/>
    </row>
    <row r="199" spans="20:20">
      <c r="T199" s="407"/>
    </row>
    <row r="200" spans="20:20">
      <c r="T200" s="407"/>
    </row>
  </sheetData>
  <mergeCells count="11">
    <mergeCell ref="D3:I3"/>
    <mergeCell ref="N3:P3"/>
    <mergeCell ref="F4:I4"/>
    <mergeCell ref="F5:K5"/>
    <mergeCell ref="F6:G6"/>
    <mergeCell ref="P9:Q9"/>
    <mergeCell ref="J13:P13"/>
    <mergeCell ref="L107:M107"/>
    <mergeCell ref="L108:M108"/>
    <mergeCell ref="L109:M109"/>
    <mergeCell ref="C9:L9"/>
  </mergeCells>
  <printOptions horizontalCentered="1"/>
  <pageMargins left="0" right="0" top="0.39370078740157483" bottom="0" header="0" footer="0"/>
  <pageSetup paperSize="5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2"/>
  <sheetViews>
    <sheetView topLeftCell="A4" workbookViewId="0">
      <selection activeCell="L15" sqref="L15"/>
    </sheetView>
  </sheetViews>
  <sheetFormatPr defaultColWidth="9.140625" defaultRowHeight="12.75"/>
  <cols>
    <col min="1" max="1" width="14" style="1" customWidth="1"/>
    <col min="2" max="2" width="13" style="1" customWidth="1"/>
    <col min="3" max="3" width="5.85546875" style="1" customWidth="1"/>
    <col min="4" max="4" width="15.5703125" style="1" customWidth="1"/>
    <col min="5" max="5" width="3.5703125" style="1" customWidth="1"/>
    <col min="6" max="6" width="8.5703125" style="1" bestFit="1" customWidth="1"/>
    <col min="7" max="7" width="3.85546875" style="1" customWidth="1"/>
    <col min="8" max="8" width="3.7109375" style="1" customWidth="1"/>
    <col min="9" max="9" width="5.7109375" style="1" customWidth="1"/>
    <col min="10" max="10" width="4.7109375" style="1" customWidth="1"/>
    <col min="11" max="11" width="3.7109375" style="1" customWidth="1"/>
    <col min="12" max="12" width="21.5703125" style="1" customWidth="1"/>
    <col min="13" max="13" width="2" style="1" customWidth="1"/>
    <col min="14" max="16384" width="9.140625" style="1"/>
  </cols>
  <sheetData>
    <row r="1" spans="1:14">
      <c r="A1" s="72"/>
      <c r="B1" s="72"/>
      <c r="C1" s="72"/>
      <c r="D1" s="72"/>
      <c r="E1" s="72"/>
      <c r="F1" s="72"/>
      <c r="G1" s="72"/>
      <c r="H1" s="72"/>
      <c r="I1" s="72"/>
      <c r="J1" s="72"/>
      <c r="K1" s="73"/>
      <c r="L1" s="72"/>
      <c r="M1" s="72"/>
    </row>
    <row r="2" spans="1:14">
      <c r="A2" s="72"/>
      <c r="B2" s="72"/>
      <c r="C2" s="72"/>
      <c r="D2" s="72"/>
      <c r="E2" s="72"/>
      <c r="F2" s="72"/>
      <c r="G2" s="72"/>
      <c r="H2" s="72"/>
      <c r="I2" s="72"/>
      <c r="J2" s="72"/>
      <c r="K2" s="73"/>
      <c r="L2" s="72"/>
      <c r="M2" s="72"/>
    </row>
    <row r="3" spans="1:14" ht="22.5">
      <c r="A3" s="503" t="s">
        <v>0</v>
      </c>
      <c r="B3" s="503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</row>
    <row r="4" spans="1:14" ht="20.25">
      <c r="A4" s="504" t="s">
        <v>55</v>
      </c>
      <c r="B4" s="504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</row>
    <row r="5" spans="1:14" ht="26.25" customHeight="1">
      <c r="A5" s="72"/>
      <c r="B5" s="72"/>
      <c r="C5" s="72"/>
      <c r="D5" s="72"/>
      <c r="E5" s="72"/>
      <c r="F5" s="72"/>
      <c r="G5" s="72"/>
      <c r="H5" s="72"/>
      <c r="I5" s="72"/>
      <c r="J5" s="72"/>
      <c r="K5" s="73"/>
      <c r="L5" s="72"/>
      <c r="M5" s="72"/>
    </row>
    <row r="6" spans="1:14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4" ht="15.75">
      <c r="A7" s="9" t="s">
        <v>22</v>
      </c>
      <c r="B7" s="13" t="s">
        <v>24</v>
      </c>
      <c r="C7" s="14"/>
      <c r="D7" s="15"/>
      <c r="E7" s="7"/>
      <c r="F7" s="7"/>
      <c r="G7" s="11" t="s">
        <v>21</v>
      </c>
      <c r="H7" s="11"/>
      <c r="I7" s="11"/>
      <c r="J7" s="11"/>
      <c r="K7" s="11"/>
      <c r="L7" s="14" t="s">
        <v>65</v>
      </c>
      <c r="M7" s="20"/>
      <c r="N7" s="2"/>
    </row>
    <row r="8" spans="1:14" ht="15.75">
      <c r="A8" s="10" t="s">
        <v>23</v>
      </c>
      <c r="B8" s="16">
        <v>3341</v>
      </c>
      <c r="C8" s="58"/>
      <c r="D8" s="59"/>
      <c r="E8" s="5"/>
      <c r="F8" s="5"/>
      <c r="G8" s="9" t="s">
        <v>2</v>
      </c>
      <c r="H8" s="9"/>
      <c r="I8" s="9"/>
      <c r="J8" s="9"/>
      <c r="K8" s="9"/>
      <c r="L8" s="51" t="s">
        <v>77</v>
      </c>
      <c r="M8" s="14"/>
      <c r="N8" s="2"/>
    </row>
    <row r="9" spans="1:14" ht="21" customHeight="1" thickBo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77"/>
      <c r="M9" s="3"/>
      <c r="N9" s="2"/>
    </row>
    <row r="10" spans="1:14" ht="15" thickTop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4.25">
      <c r="A11" s="499" t="s">
        <v>3</v>
      </c>
      <c r="B11" s="499"/>
      <c r="C11" s="2"/>
      <c r="D11" s="4" t="s">
        <v>9</v>
      </c>
      <c r="E11" s="4"/>
      <c r="F11" s="499" t="s">
        <v>50</v>
      </c>
      <c r="G11" s="499"/>
      <c r="H11" s="4"/>
      <c r="I11" s="499" t="s">
        <v>51</v>
      </c>
      <c r="J11" s="499"/>
      <c r="K11" s="2"/>
      <c r="L11" s="4" t="s">
        <v>10</v>
      </c>
      <c r="M11" s="2"/>
      <c r="N11" s="2"/>
    </row>
    <row r="12" spans="1:14" ht="9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33"/>
      <c r="M12" s="2"/>
      <c r="N12" s="2"/>
    </row>
    <row r="13" spans="1:14" ht="21" customHeight="1">
      <c r="A13" s="5" t="s">
        <v>76</v>
      </c>
      <c r="B13" s="5"/>
      <c r="C13" s="22"/>
      <c r="D13" s="54"/>
      <c r="E13" s="8"/>
      <c r="F13" s="60"/>
      <c r="G13" s="66"/>
      <c r="H13" s="8"/>
      <c r="I13" s="61"/>
      <c r="J13" s="78"/>
      <c r="K13" s="2"/>
      <c r="L13" s="30"/>
      <c r="M13" s="2"/>
      <c r="N13" s="2"/>
    </row>
    <row r="14" spans="1:14" ht="21" customHeight="1">
      <c r="A14" s="5" t="s">
        <v>15</v>
      </c>
      <c r="B14" s="5"/>
      <c r="C14" s="22"/>
      <c r="D14" s="54"/>
      <c r="E14" s="2"/>
      <c r="F14" s="60"/>
      <c r="G14" s="76"/>
      <c r="H14" s="2"/>
      <c r="I14" s="61"/>
      <c r="J14" s="78"/>
      <c r="K14" s="2"/>
      <c r="L14" s="30"/>
      <c r="M14" s="2"/>
      <c r="N14" s="2"/>
    </row>
    <row r="15" spans="1:14" ht="21" customHeight="1">
      <c r="A15" s="5" t="s">
        <v>53</v>
      </c>
      <c r="B15" s="5"/>
      <c r="C15" s="22"/>
      <c r="D15" s="55"/>
      <c r="E15" s="2"/>
      <c r="F15" s="61"/>
      <c r="G15" s="76"/>
      <c r="H15" s="2"/>
      <c r="I15" s="61"/>
      <c r="J15" s="78"/>
      <c r="K15" s="2"/>
      <c r="L15" s="30"/>
      <c r="M15" s="2"/>
      <c r="N15" s="2"/>
    </row>
    <row r="16" spans="1:14" ht="21" hidden="1" customHeight="1">
      <c r="A16" s="80" t="s">
        <v>69</v>
      </c>
      <c r="B16" s="80"/>
      <c r="C16" s="48"/>
      <c r="D16" s="81" t="s">
        <v>68</v>
      </c>
      <c r="E16" s="46"/>
      <c r="F16" s="82"/>
      <c r="G16" s="83" t="s">
        <v>66</v>
      </c>
      <c r="H16" s="46"/>
      <c r="I16" s="84">
        <v>22</v>
      </c>
      <c r="J16" s="85" t="s">
        <v>67</v>
      </c>
      <c r="K16" s="46"/>
      <c r="L16" s="47">
        <f>F16*I16</f>
        <v>0</v>
      </c>
      <c r="M16" s="2"/>
      <c r="N16" s="2"/>
    </row>
    <row r="17" spans="1:15" ht="21" customHeight="1">
      <c r="A17" s="80" t="s">
        <v>69</v>
      </c>
      <c r="B17" s="80"/>
      <c r="C17" s="48"/>
      <c r="D17" s="86" t="s">
        <v>68</v>
      </c>
      <c r="E17" s="87"/>
      <c r="F17" s="82">
        <v>3001</v>
      </c>
      <c r="G17" s="83" t="s">
        <v>66</v>
      </c>
      <c r="H17" s="87"/>
      <c r="I17" s="84">
        <v>20</v>
      </c>
      <c r="J17" s="85" t="s">
        <v>67</v>
      </c>
      <c r="K17" s="88"/>
      <c r="L17" s="47">
        <f>I17*F17</f>
        <v>60020</v>
      </c>
      <c r="M17" s="2"/>
      <c r="N17" s="2"/>
      <c r="O17" s="45"/>
    </row>
    <row r="18" spans="1:15" ht="21" customHeight="1">
      <c r="A18" s="5" t="s">
        <v>53</v>
      </c>
      <c r="B18" s="5"/>
      <c r="C18" s="22"/>
      <c r="D18" s="55" t="s">
        <v>68</v>
      </c>
      <c r="E18" s="2"/>
      <c r="F18" s="61">
        <v>1274</v>
      </c>
      <c r="G18" s="76" t="s">
        <v>66</v>
      </c>
      <c r="H18" s="2"/>
      <c r="I18" s="61">
        <v>35</v>
      </c>
      <c r="J18" s="78" t="s">
        <v>67</v>
      </c>
      <c r="K18" s="2"/>
      <c r="L18" s="30">
        <f>I18*F18</f>
        <v>44590</v>
      </c>
      <c r="M18" s="2"/>
      <c r="N18" s="2"/>
      <c r="O18" s="45"/>
    </row>
    <row r="19" spans="1:15" ht="21" customHeight="1">
      <c r="A19" s="5" t="s">
        <v>53</v>
      </c>
      <c r="B19" s="5"/>
      <c r="C19" s="22"/>
      <c r="D19" s="55" t="s">
        <v>71</v>
      </c>
      <c r="E19" s="2"/>
      <c r="F19" s="61"/>
      <c r="G19" s="76" t="s">
        <v>66</v>
      </c>
      <c r="H19" s="2"/>
      <c r="I19" s="61">
        <v>35</v>
      </c>
      <c r="J19" s="78" t="s">
        <v>67</v>
      </c>
      <c r="K19" s="2"/>
      <c r="L19" s="30">
        <f>I19*F19</f>
        <v>0</v>
      </c>
      <c r="M19" s="2"/>
      <c r="N19" s="2"/>
      <c r="O19" s="45"/>
    </row>
    <row r="20" spans="1:15" ht="21" customHeight="1">
      <c r="A20" s="5" t="s">
        <v>63</v>
      </c>
      <c r="B20" s="57"/>
      <c r="C20" s="22"/>
      <c r="D20" s="55" t="s">
        <v>70</v>
      </c>
      <c r="E20" s="2"/>
      <c r="F20" s="60">
        <v>704</v>
      </c>
      <c r="G20" s="76" t="s">
        <v>66</v>
      </c>
      <c r="H20" s="2"/>
      <c r="I20" s="61">
        <v>35</v>
      </c>
      <c r="J20" s="78" t="s">
        <v>67</v>
      </c>
      <c r="L20" s="30">
        <f>F20*I20</f>
        <v>24640</v>
      </c>
      <c r="M20" s="2"/>
      <c r="N20" s="28"/>
      <c r="O20" s="45"/>
    </row>
    <row r="21" spans="1:15" ht="21" customHeight="1">
      <c r="A21" s="5" t="s">
        <v>63</v>
      </c>
      <c r="B21" s="5"/>
      <c r="C21" s="22"/>
      <c r="D21" s="55" t="s">
        <v>71</v>
      </c>
      <c r="E21" s="2"/>
      <c r="F21" s="60">
        <v>0</v>
      </c>
      <c r="G21" s="76" t="s">
        <v>66</v>
      </c>
      <c r="H21" s="2"/>
      <c r="I21" s="61">
        <v>33</v>
      </c>
      <c r="J21" s="78" t="s">
        <v>67</v>
      </c>
      <c r="L21" s="30">
        <f>F21*I21</f>
        <v>0</v>
      </c>
      <c r="M21" s="2"/>
      <c r="N21" s="28"/>
    </row>
    <row r="22" spans="1:15" ht="21" customHeight="1">
      <c r="A22" s="5" t="s">
        <v>58</v>
      </c>
      <c r="B22" s="5"/>
      <c r="C22" s="22"/>
      <c r="D22" s="54"/>
      <c r="E22" s="2"/>
      <c r="F22" s="60"/>
      <c r="G22" s="66"/>
      <c r="H22" s="2"/>
      <c r="I22" s="61"/>
      <c r="J22" s="62"/>
      <c r="K22" s="2"/>
      <c r="L22" s="30"/>
      <c r="M22" s="2"/>
      <c r="N22" s="2"/>
    </row>
    <row r="23" spans="1:15" ht="21" customHeight="1">
      <c r="A23" s="5" t="s">
        <v>59</v>
      </c>
      <c r="B23" s="5"/>
      <c r="C23" s="22"/>
      <c r="D23" s="56"/>
      <c r="E23" s="2"/>
      <c r="F23" s="60"/>
      <c r="G23" s="66"/>
      <c r="H23" s="2"/>
      <c r="I23" s="61"/>
      <c r="J23" s="62"/>
      <c r="K23" s="2"/>
      <c r="L23" s="30"/>
      <c r="M23" s="2"/>
      <c r="N23" s="2"/>
    </row>
    <row r="24" spans="1:15" ht="21" customHeight="1">
      <c r="A24" s="5" t="s">
        <v>73</v>
      </c>
      <c r="B24" s="5"/>
      <c r="C24" s="22"/>
      <c r="D24" s="56" t="s">
        <v>75</v>
      </c>
      <c r="E24" s="2"/>
      <c r="F24" s="60"/>
      <c r="G24" s="60"/>
      <c r="H24" s="2"/>
      <c r="I24" s="61"/>
      <c r="J24" s="62"/>
      <c r="K24" s="2"/>
      <c r="L24" s="30">
        <v>675</v>
      </c>
      <c r="M24" s="2"/>
      <c r="N24" s="2"/>
    </row>
    <row r="25" spans="1:15" ht="21" customHeight="1">
      <c r="A25" s="5" t="s">
        <v>73</v>
      </c>
      <c r="B25" s="5"/>
      <c r="C25" s="22"/>
      <c r="D25" s="54"/>
      <c r="E25" s="2"/>
      <c r="F25" s="60"/>
      <c r="G25" s="60"/>
      <c r="H25" s="2"/>
      <c r="I25" s="61"/>
      <c r="J25" s="62"/>
      <c r="K25" s="2"/>
      <c r="L25" s="30">
        <v>4000</v>
      </c>
      <c r="M25" s="2"/>
      <c r="N25" s="28"/>
    </row>
    <row r="26" spans="1:15" ht="21" customHeight="1" thickBot="1">
      <c r="A26" s="5" t="s">
        <v>72</v>
      </c>
      <c r="B26" s="5"/>
      <c r="C26" s="22"/>
      <c r="D26" s="54" t="s">
        <v>78</v>
      </c>
      <c r="E26" s="2"/>
      <c r="F26" s="60"/>
      <c r="G26" s="60"/>
      <c r="H26" s="2"/>
      <c r="I26" s="61"/>
      <c r="J26" s="62"/>
      <c r="K26" s="2"/>
      <c r="L26" s="31">
        <v>300</v>
      </c>
      <c r="M26" s="2"/>
      <c r="N26" s="28"/>
    </row>
    <row r="27" spans="1:15" ht="21" customHeight="1" thickBot="1">
      <c r="A27" s="5" t="s">
        <v>7</v>
      </c>
      <c r="B27" s="5"/>
      <c r="C27" s="22"/>
      <c r="D27" s="67"/>
      <c r="E27" s="2"/>
      <c r="F27" s="68"/>
      <c r="G27" s="68"/>
      <c r="H27" s="2"/>
      <c r="I27" s="69"/>
      <c r="J27" s="70"/>
      <c r="K27" s="2"/>
      <c r="L27" s="71">
        <v>7.6999999999999999E-2</v>
      </c>
      <c r="M27" s="2"/>
      <c r="N27" s="2"/>
    </row>
    <row r="28" spans="1:15" ht="21" customHeight="1" thickBot="1">
      <c r="A28" s="6"/>
      <c r="B28" s="6"/>
      <c r="C28" s="3"/>
      <c r="D28" s="93"/>
      <c r="E28" s="3"/>
      <c r="F28" s="3"/>
      <c r="G28" s="3"/>
      <c r="H28" s="3"/>
      <c r="I28" s="3"/>
      <c r="J28" s="3"/>
      <c r="K28" s="3"/>
      <c r="L28" s="79"/>
      <c r="M28" s="3"/>
      <c r="N28" s="2"/>
    </row>
    <row r="29" spans="1:15" ht="21" customHeight="1" thickTop="1">
      <c r="A29" s="5"/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5" ht="21" customHeight="1">
      <c r="A30" s="5" t="s">
        <v>8</v>
      </c>
      <c r="B30" s="21" t="s">
        <v>79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"/>
    </row>
    <row r="31" spans="1:15" ht="21" customHeight="1">
      <c r="A31" s="21" t="s">
        <v>80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"/>
    </row>
    <row r="32" spans="1:15" ht="21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90"/>
    </row>
    <row r="33" spans="1:14" ht="21" customHeight="1">
      <c r="A33" s="24" t="s">
        <v>74</v>
      </c>
      <c r="B33" s="24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"/>
    </row>
    <row r="34" spans="1:14" ht="20.25" customHeight="1">
      <c r="A34" s="37" t="s">
        <v>73</v>
      </c>
      <c r="B34" s="37"/>
      <c r="C34" s="91"/>
      <c r="D34" s="37"/>
      <c r="E34" s="89"/>
      <c r="F34" s="89"/>
      <c r="G34" s="68"/>
      <c r="H34" s="2"/>
      <c r="I34" s="69"/>
      <c r="J34" s="70"/>
      <c r="K34" s="2"/>
      <c r="L34" s="31"/>
      <c r="M34" s="22"/>
      <c r="N34" s="2"/>
    </row>
    <row r="35" spans="1:14" ht="20.25" customHeight="1">
      <c r="A35" s="37" t="s">
        <v>73</v>
      </c>
      <c r="B35" s="37"/>
      <c r="C35" s="91"/>
      <c r="D35" s="37"/>
      <c r="E35" s="89"/>
      <c r="F35" s="89"/>
      <c r="G35" s="68"/>
      <c r="H35" s="2"/>
      <c r="I35" s="69"/>
      <c r="J35" s="70"/>
      <c r="K35" s="2"/>
      <c r="L35" s="31"/>
      <c r="M35" s="2"/>
      <c r="N35" s="2"/>
    </row>
    <row r="36" spans="1:14" ht="20.25" customHeight="1">
      <c r="A36" s="37" t="s">
        <v>73</v>
      </c>
      <c r="B36" s="37"/>
      <c r="C36" s="91"/>
      <c r="D36" s="37"/>
      <c r="E36" s="89"/>
      <c r="F36" s="89"/>
      <c r="G36" s="68"/>
      <c r="H36" s="2"/>
      <c r="I36" s="69"/>
      <c r="J36" s="70"/>
      <c r="K36" s="2"/>
      <c r="L36" s="31"/>
      <c r="M36" s="2"/>
      <c r="N36" s="2"/>
    </row>
    <row r="37" spans="1:14" ht="20.25" customHeight="1">
      <c r="A37" s="37" t="s">
        <v>73</v>
      </c>
      <c r="B37" s="37"/>
      <c r="C37" s="92"/>
      <c r="D37" s="37"/>
      <c r="E37" s="89"/>
      <c r="F37" s="89"/>
      <c r="G37" s="68"/>
      <c r="H37" s="2"/>
      <c r="I37" s="69"/>
      <c r="J37" s="70"/>
      <c r="K37" s="2"/>
      <c r="L37" s="31"/>
      <c r="M37" s="63"/>
      <c r="N37" s="63"/>
    </row>
    <row r="38" spans="1:14" ht="16.5" customHeight="1">
      <c r="A38" s="37" t="s">
        <v>73</v>
      </c>
      <c r="B38" s="37"/>
      <c r="C38" s="92"/>
      <c r="D38" s="37"/>
      <c r="E38" s="89"/>
      <c r="F38" s="89"/>
      <c r="G38" s="68"/>
      <c r="H38" s="2"/>
      <c r="I38" s="69"/>
      <c r="J38" s="70"/>
      <c r="K38" s="2"/>
      <c r="L38" s="31"/>
      <c r="M38" s="63"/>
      <c r="N38" s="63"/>
    </row>
    <row r="39" spans="1:14" ht="15">
      <c r="A39" s="37" t="s">
        <v>72</v>
      </c>
      <c r="B39" s="37"/>
      <c r="C39" s="92"/>
      <c r="D39" s="37"/>
      <c r="E39" s="89"/>
      <c r="F39" s="89"/>
      <c r="G39" s="68"/>
      <c r="H39" s="2"/>
      <c r="I39" s="69"/>
      <c r="J39" s="70"/>
      <c r="K39" s="2"/>
      <c r="L39" s="31"/>
      <c r="M39" s="63"/>
      <c r="N39" s="63"/>
    </row>
    <row r="40" spans="1:14" ht="15">
      <c r="A40" s="37" t="s">
        <v>72</v>
      </c>
      <c r="B40" s="37"/>
      <c r="C40" s="92"/>
      <c r="D40" s="37"/>
      <c r="E40" s="89"/>
      <c r="F40" s="89"/>
      <c r="G40" s="68"/>
      <c r="H40" s="2"/>
      <c r="I40" s="69"/>
      <c r="J40" s="70"/>
      <c r="K40" s="2"/>
      <c r="L40" s="31"/>
      <c r="M40" s="63"/>
      <c r="N40" s="63"/>
    </row>
    <row r="41" spans="1:14">
      <c r="A41" s="37" t="s">
        <v>72</v>
      </c>
      <c r="B41" s="37"/>
      <c r="C41" s="92"/>
      <c r="D41" s="37"/>
      <c r="E41" s="89"/>
      <c r="F41" s="89"/>
      <c r="G41" s="63"/>
      <c r="H41" s="63"/>
      <c r="I41" s="63"/>
      <c r="J41" s="63"/>
      <c r="K41" s="63"/>
      <c r="L41" s="63"/>
      <c r="M41" s="63"/>
      <c r="N41" s="63"/>
    </row>
    <row r="42" spans="1:14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</sheetData>
  <mergeCells count="5">
    <mergeCell ref="A3:M3"/>
    <mergeCell ref="A4:M4"/>
    <mergeCell ref="A11:B11"/>
    <mergeCell ref="F11:G11"/>
    <mergeCell ref="I11:J11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14"/>
  <sheetViews>
    <sheetView showZeros="0" workbookViewId="0">
      <selection activeCell="B33" sqref="B33"/>
    </sheetView>
  </sheetViews>
  <sheetFormatPr defaultColWidth="9.140625" defaultRowHeight="12.75"/>
  <cols>
    <col min="1" max="1" width="13.85546875" style="1" customWidth="1"/>
    <col min="2" max="2" width="12.5703125" style="1" customWidth="1"/>
    <col min="3" max="3" width="12.42578125" style="1" customWidth="1"/>
    <col min="4" max="4" width="2" style="1" customWidth="1"/>
    <col min="5" max="5" width="15" style="1" customWidth="1"/>
    <col min="6" max="6" width="2.42578125" style="1" customWidth="1"/>
    <col min="7" max="7" width="5.7109375" style="1" customWidth="1"/>
    <col min="8" max="8" width="3.85546875" style="1" bestFit="1" customWidth="1"/>
    <col min="9" max="9" width="3" style="1" customWidth="1"/>
    <col min="10" max="10" width="5" style="1" customWidth="1"/>
    <col min="11" max="11" width="2.85546875" style="1" customWidth="1"/>
    <col min="12" max="12" width="5.42578125" style="1" customWidth="1"/>
    <col min="13" max="13" width="23.5703125" style="1" bestFit="1" customWidth="1"/>
    <col min="14" max="14" width="1.28515625" style="1" hidden="1" customWidth="1"/>
    <col min="15" max="16" width="13.42578125" style="1" hidden="1" customWidth="1"/>
    <col min="17" max="19" width="9.140625" style="1" hidden="1" customWidth="1"/>
    <col min="20" max="20" width="8" style="1" hidden="1" customWidth="1"/>
    <col min="21" max="23" width="9.140625" style="1" hidden="1" customWidth="1"/>
    <col min="24" max="24" width="6.7109375" style="1" hidden="1" customWidth="1"/>
    <col min="25" max="25" width="8.28515625" style="1" hidden="1" customWidth="1"/>
    <col min="26" max="26" width="10.7109375" style="1" hidden="1" customWidth="1"/>
    <col min="27" max="27" width="9.140625" style="1" hidden="1" customWidth="1"/>
    <col min="28" max="28" width="10.5703125" style="1" hidden="1" customWidth="1"/>
    <col min="29" max="37" width="9.140625" style="1" hidden="1" customWidth="1"/>
    <col min="38" max="16384" width="9.140625" style="1"/>
  </cols>
  <sheetData>
    <row r="1" spans="1:30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5"/>
      <c r="M1" s="74"/>
      <c r="N1" s="74"/>
    </row>
    <row r="2" spans="1:30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5"/>
      <c r="M2" s="74"/>
      <c r="N2" s="74"/>
    </row>
    <row r="3" spans="1:30" ht="22.5">
      <c r="A3" s="505" t="s">
        <v>0</v>
      </c>
      <c r="B3" s="505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</row>
    <row r="4" spans="1:30" ht="20.25">
      <c r="A4" s="506" t="s">
        <v>62</v>
      </c>
      <c r="B4" s="506"/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6"/>
    </row>
    <row r="5" spans="1:30" ht="26.25" customHeight="1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5"/>
      <c r="M5" s="74"/>
      <c r="N5" s="74"/>
    </row>
    <row r="6" spans="1:30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30" ht="15.75">
      <c r="A7" s="9" t="s">
        <v>22</v>
      </c>
      <c r="B7" s="13" t="str">
        <f>[1]HERRING!B7</f>
        <v>SEA LIFE FISHERIES DIVISION</v>
      </c>
      <c r="C7" s="14"/>
      <c r="D7" s="14"/>
      <c r="E7" s="15"/>
      <c r="F7" s="7"/>
      <c r="G7" s="7"/>
      <c r="H7" s="7"/>
      <c r="I7" s="11" t="s">
        <v>21</v>
      </c>
      <c r="J7" s="11"/>
      <c r="K7" s="11"/>
      <c r="L7" s="11"/>
      <c r="M7" s="97">
        <f>HERRING!L7</f>
        <v>0</v>
      </c>
      <c r="N7" s="20"/>
    </row>
    <row r="8" spans="1:30" ht="15.75">
      <c r="A8" s="10" t="s">
        <v>23</v>
      </c>
      <c r="B8" s="16">
        <f>[1]HERRING!B8</f>
        <v>3341</v>
      </c>
      <c r="C8" s="58"/>
      <c r="D8" s="58"/>
      <c r="E8" s="59"/>
      <c r="F8" s="5"/>
      <c r="G8" s="5"/>
      <c r="H8" s="5"/>
      <c r="I8" s="9" t="s">
        <v>2</v>
      </c>
      <c r="J8" s="9"/>
      <c r="K8" s="9"/>
      <c r="L8" s="9"/>
      <c r="M8" s="100">
        <v>39370</v>
      </c>
      <c r="N8" s="14"/>
      <c r="O8" s="1">
        <v>15</v>
      </c>
    </row>
    <row r="9" spans="1:30" ht="21" customHeight="1" thickBo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30" ht="15" thickTop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30" ht="14.25">
      <c r="A11" s="499" t="s">
        <v>3</v>
      </c>
      <c r="B11" s="499"/>
      <c r="C11" s="2"/>
      <c r="D11" s="2"/>
      <c r="E11" s="4" t="s">
        <v>98</v>
      </c>
      <c r="F11" s="4"/>
      <c r="G11" s="499" t="s">
        <v>50</v>
      </c>
      <c r="H11" s="499"/>
      <c r="I11" s="4"/>
      <c r="J11" s="499" t="s">
        <v>51</v>
      </c>
      <c r="K11" s="499"/>
      <c r="L11" s="2"/>
      <c r="M11" s="4" t="s">
        <v>10</v>
      </c>
      <c r="N11" s="2"/>
      <c r="O11" s="118" t="s">
        <v>107</v>
      </c>
      <c r="P11" s="125" t="s">
        <v>117</v>
      </c>
      <c r="Q11" s="119" t="s">
        <v>103</v>
      </c>
      <c r="R11" s="158" t="s">
        <v>120</v>
      </c>
      <c r="S11" s="159" t="s">
        <v>122</v>
      </c>
      <c r="T11" s="120" t="s">
        <v>105</v>
      </c>
      <c r="U11" s="121" t="s">
        <v>104</v>
      </c>
      <c r="V11" s="122" t="s">
        <v>106</v>
      </c>
      <c r="W11" s="125" t="s">
        <v>96</v>
      </c>
      <c r="X11" s="148"/>
      <c r="Y11" s="148" t="s">
        <v>96</v>
      </c>
      <c r="Z11" s="148" t="s">
        <v>96</v>
      </c>
      <c r="AA11" s="125" t="s">
        <v>96</v>
      </c>
    </row>
    <row r="12" spans="1:30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3"/>
      <c r="N12" s="2"/>
      <c r="O12" s="76" t="s">
        <v>108</v>
      </c>
      <c r="P12" s="126" t="s">
        <v>67</v>
      </c>
      <c r="Q12" s="124"/>
      <c r="R12" s="160"/>
      <c r="S12" s="160"/>
      <c r="T12" s="124"/>
      <c r="U12" s="124"/>
      <c r="V12" s="124"/>
      <c r="W12" s="129"/>
      <c r="X12" s="149" t="s">
        <v>114</v>
      </c>
      <c r="Y12" s="149" t="s">
        <v>106</v>
      </c>
      <c r="Z12" s="149" t="s">
        <v>115</v>
      </c>
      <c r="AA12" s="126" t="s">
        <v>116</v>
      </c>
    </row>
    <row r="13" spans="1:30" ht="16.5" customHeight="1">
      <c r="A13" s="5" t="s">
        <v>101</v>
      </c>
      <c r="B13" s="5"/>
      <c r="C13" s="22"/>
      <c r="D13" s="22"/>
      <c r="E13" s="143" t="s">
        <v>129</v>
      </c>
      <c r="F13" s="43"/>
      <c r="G13" s="60">
        <v>1368</v>
      </c>
      <c r="H13" s="66" t="s">
        <v>18</v>
      </c>
      <c r="I13" s="43"/>
      <c r="J13" s="61">
        <v>40</v>
      </c>
      <c r="K13" s="62" t="s">
        <v>52</v>
      </c>
      <c r="L13" s="2"/>
      <c r="M13" s="30">
        <f>G13*J13</f>
        <v>54720</v>
      </c>
      <c r="N13" s="2"/>
      <c r="O13" s="1">
        <v>50</v>
      </c>
      <c r="P13" s="127">
        <f>O13*2000</f>
        <v>100000</v>
      </c>
      <c r="Q13" s="109">
        <f>O13/$O$17</f>
        <v>1</v>
      </c>
      <c r="R13" s="162"/>
      <c r="S13" s="162">
        <f>R13</f>
        <v>0</v>
      </c>
      <c r="T13" s="88"/>
      <c r="U13" s="113">
        <f>T13/0.3</f>
        <v>0</v>
      </c>
      <c r="V13" s="116">
        <f>2340*40</f>
        <v>93600</v>
      </c>
      <c r="W13" s="130">
        <f>U13+V13+S13</f>
        <v>93600</v>
      </c>
      <c r="X13" s="150"/>
      <c r="Y13" s="150">
        <f>X13+V13</f>
        <v>93600</v>
      </c>
      <c r="Z13" s="150">
        <f>Y13/40</f>
        <v>2340</v>
      </c>
      <c r="AA13" s="130">
        <f>Y13+U13</f>
        <v>93600</v>
      </c>
    </row>
    <row r="14" spans="1:30" ht="16.5" customHeight="1">
      <c r="A14" s="5" t="s">
        <v>101</v>
      </c>
      <c r="B14" s="5"/>
      <c r="C14" s="22"/>
      <c r="D14" s="22"/>
      <c r="E14" s="143"/>
      <c r="F14" s="8"/>
      <c r="G14" s="60"/>
      <c r="H14" s="66" t="s">
        <v>18</v>
      </c>
      <c r="I14" s="43"/>
      <c r="J14" s="61">
        <v>40</v>
      </c>
      <c r="K14" s="62" t="s">
        <v>52</v>
      </c>
      <c r="L14" s="2"/>
      <c r="M14" s="30">
        <f>G14*J14</f>
        <v>0</v>
      </c>
      <c r="N14" s="2"/>
      <c r="P14" s="127">
        <f>O14*2000</f>
        <v>0</v>
      </c>
      <c r="Q14" s="109">
        <f>O14/$O$17</f>
        <v>0</v>
      </c>
      <c r="R14" s="162">
        <f>6000*Q14</f>
        <v>0</v>
      </c>
      <c r="S14" s="162">
        <f>R14</f>
        <v>0</v>
      </c>
      <c r="T14" s="88"/>
      <c r="U14" s="113">
        <f>T14/0.3</f>
        <v>0</v>
      </c>
      <c r="V14" s="116"/>
      <c r="W14" s="130">
        <f>U14+V14+S14</f>
        <v>0</v>
      </c>
      <c r="X14" s="150"/>
      <c r="Y14" s="150">
        <f>X14+V14</f>
        <v>0</v>
      </c>
      <c r="Z14" s="150">
        <f>Y14/40</f>
        <v>0</v>
      </c>
      <c r="AA14" s="130">
        <f>Y14+U14</f>
        <v>0</v>
      </c>
      <c r="AB14" s="110"/>
      <c r="AC14" s="110"/>
      <c r="AD14" s="110"/>
    </row>
    <row r="15" spans="1:30" ht="16.5" customHeight="1">
      <c r="A15" s="5" t="s">
        <v>101</v>
      </c>
      <c r="B15" s="5"/>
      <c r="C15" s="22"/>
      <c r="D15" s="22"/>
      <c r="E15" s="143"/>
      <c r="F15" s="8"/>
      <c r="G15" s="60"/>
      <c r="H15" s="66" t="s">
        <v>18</v>
      </c>
      <c r="I15" s="43"/>
      <c r="J15" s="61">
        <v>40</v>
      </c>
      <c r="K15" s="62" t="s">
        <v>52</v>
      </c>
      <c r="L15" s="2"/>
      <c r="M15" s="30">
        <f>G15*J15</f>
        <v>0</v>
      </c>
      <c r="N15" s="2"/>
      <c r="P15" s="127">
        <f>O15*2000</f>
        <v>0</v>
      </c>
      <c r="Q15" s="109">
        <f>O15/$O$17</f>
        <v>0</v>
      </c>
      <c r="R15" s="161"/>
      <c r="S15" s="162">
        <f>R15</f>
        <v>0</v>
      </c>
      <c r="T15" s="88"/>
      <c r="U15" s="113">
        <f>T15/0.3</f>
        <v>0</v>
      </c>
      <c r="V15" s="116"/>
      <c r="W15" s="130">
        <f>U15+V15</f>
        <v>0</v>
      </c>
      <c r="X15" s="150"/>
      <c r="Y15" s="150">
        <f>X15+V15</f>
        <v>0</v>
      </c>
      <c r="Z15" s="150">
        <f>Y15/40</f>
        <v>0</v>
      </c>
      <c r="AA15" s="130">
        <f>Y15+U15</f>
        <v>0</v>
      </c>
      <c r="AB15" s="110"/>
      <c r="AC15" s="110"/>
      <c r="AD15" s="110"/>
    </row>
    <row r="16" spans="1:30" ht="16.5" customHeight="1" thickBot="1">
      <c r="A16" s="5" t="s">
        <v>101</v>
      </c>
      <c r="B16" s="5"/>
      <c r="C16" s="22"/>
      <c r="D16" s="22"/>
      <c r="E16" s="92"/>
      <c r="F16" s="2"/>
      <c r="G16" s="60"/>
      <c r="H16" s="66"/>
      <c r="I16" s="43"/>
      <c r="J16" s="61"/>
      <c r="K16" s="62"/>
      <c r="L16" s="2"/>
      <c r="M16" s="30">
        <f>G16*J16</f>
        <v>0</v>
      </c>
      <c r="N16" s="2"/>
      <c r="P16" s="127">
        <f>O16*2000</f>
        <v>0</v>
      </c>
      <c r="Q16" s="109">
        <f>O16/$O$17</f>
        <v>0</v>
      </c>
      <c r="R16" s="161"/>
      <c r="S16" s="162">
        <f>R16/0.3</f>
        <v>0</v>
      </c>
      <c r="T16" s="88"/>
      <c r="U16" s="113">
        <f>T16/0.3</f>
        <v>0</v>
      </c>
      <c r="V16" s="116"/>
      <c r="W16" s="130">
        <f>U16+V16</f>
        <v>0</v>
      </c>
      <c r="X16" s="150"/>
      <c r="Y16" s="150">
        <f>X16+V16</f>
        <v>0</v>
      </c>
      <c r="Z16" s="150">
        <f>Y16/40</f>
        <v>0</v>
      </c>
      <c r="AA16" s="130">
        <f>Y16+U16+R16</f>
        <v>0</v>
      </c>
    </row>
    <row r="17" spans="1:29" ht="16.5" customHeight="1" thickBot="1">
      <c r="A17" s="5"/>
      <c r="B17" s="5"/>
      <c r="C17" s="108"/>
      <c r="D17" s="22"/>
      <c r="E17" s="101" t="s">
        <v>99</v>
      </c>
      <c r="F17" s="102"/>
      <c r="G17" s="102">
        <f>SUM(G13:G16)</f>
        <v>1368</v>
      </c>
      <c r="H17" s="103" t="s">
        <v>18</v>
      </c>
      <c r="I17" s="102"/>
      <c r="J17" s="104">
        <v>40</v>
      </c>
      <c r="K17" s="105" t="s">
        <v>52</v>
      </c>
      <c r="L17" s="102"/>
      <c r="M17" s="106">
        <f>SUM(M13:M16)</f>
        <v>54720</v>
      </c>
      <c r="N17" s="2"/>
      <c r="O17" s="111">
        <f t="shared" ref="O17:AA17" si="0">SUM(O13:O16)</f>
        <v>50</v>
      </c>
      <c r="P17" s="128">
        <f t="shared" si="0"/>
        <v>100000</v>
      </c>
      <c r="Q17" s="112">
        <f t="shared" si="0"/>
        <v>1</v>
      </c>
      <c r="R17" s="163">
        <f>SUM(R13:R16)</f>
        <v>0</v>
      </c>
      <c r="S17" s="164">
        <f>SUM(S13:S16)</f>
        <v>0</v>
      </c>
      <c r="T17" s="114">
        <f t="shared" si="0"/>
        <v>0</v>
      </c>
      <c r="U17" s="115">
        <f t="shared" si="0"/>
        <v>0</v>
      </c>
      <c r="V17" s="117">
        <f t="shared" si="0"/>
        <v>93600</v>
      </c>
      <c r="W17" s="131">
        <f t="shared" si="0"/>
        <v>93600</v>
      </c>
      <c r="X17" s="117">
        <f t="shared" si="0"/>
        <v>0</v>
      </c>
      <c r="Y17" s="117">
        <f t="shared" si="0"/>
        <v>93600</v>
      </c>
      <c r="Z17" s="117">
        <f t="shared" si="0"/>
        <v>2340</v>
      </c>
      <c r="AA17" s="131">
        <f t="shared" si="0"/>
        <v>93600</v>
      </c>
      <c r="AB17" s="110"/>
      <c r="AC17" s="110"/>
    </row>
    <row r="18" spans="1:29" ht="16.5" customHeight="1" thickBot="1">
      <c r="A18" s="5"/>
      <c r="B18" s="5"/>
      <c r="C18" s="108"/>
      <c r="D18" s="22"/>
      <c r="E18" s="144"/>
      <c r="F18" s="132"/>
      <c r="G18" s="139"/>
      <c r="H18" s="140"/>
      <c r="I18" s="132"/>
      <c r="J18" s="141"/>
      <c r="K18" s="142"/>
      <c r="L18" s="2"/>
      <c r="M18" s="30"/>
      <c r="N18" s="2"/>
      <c r="Q18" s="109"/>
      <c r="V18" s="110"/>
      <c r="W18" s="110"/>
    </row>
    <row r="19" spans="1:29" ht="16.5" hidden="1" customHeight="1">
      <c r="A19" s="5" t="s">
        <v>102</v>
      </c>
      <c r="B19" s="107"/>
      <c r="C19" s="108"/>
      <c r="D19" s="22"/>
      <c r="E19" s="92" t="str">
        <f>E13</f>
        <v>ANDREW &amp; DEAN</v>
      </c>
      <c r="F19" s="43"/>
      <c r="G19" s="68"/>
      <c r="H19" s="8" t="s">
        <v>18</v>
      </c>
      <c r="I19" s="43"/>
      <c r="J19" s="69">
        <v>40</v>
      </c>
      <c r="K19" s="70" t="s">
        <v>52</v>
      </c>
      <c r="L19" s="2"/>
      <c r="M19" s="30">
        <f>G19*J19</f>
        <v>0</v>
      </c>
      <c r="N19" s="2"/>
      <c r="P19" s="110"/>
      <c r="Q19" s="109"/>
      <c r="U19" s="1" t="s">
        <v>112</v>
      </c>
      <c r="W19" s="110"/>
    </row>
    <row r="20" spans="1:29" ht="16.5" hidden="1" customHeight="1">
      <c r="A20" s="5" t="s">
        <v>102</v>
      </c>
      <c r="B20" s="5"/>
      <c r="C20" s="108"/>
      <c r="D20" s="22"/>
      <c r="E20" s="92">
        <f>E14</f>
        <v>0</v>
      </c>
      <c r="F20" s="8"/>
      <c r="G20" s="68"/>
      <c r="H20" s="8" t="s">
        <v>18</v>
      </c>
      <c r="I20" s="43"/>
      <c r="J20" s="69">
        <v>40</v>
      </c>
      <c r="K20" s="70" t="s">
        <v>52</v>
      </c>
      <c r="L20" s="2"/>
      <c r="M20" s="30">
        <f>G20*J20</f>
        <v>0</v>
      </c>
      <c r="N20" s="2"/>
      <c r="P20" s="110"/>
      <c r="U20" s="1" t="s">
        <v>113</v>
      </c>
      <c r="V20" s="145"/>
      <c r="W20" s="110"/>
    </row>
    <row r="21" spans="1:29" ht="16.5" hidden="1" customHeight="1">
      <c r="A21" s="5"/>
      <c r="B21" s="5"/>
      <c r="C21" s="108"/>
      <c r="D21" s="22"/>
      <c r="E21" s="92"/>
      <c r="F21" s="8"/>
      <c r="G21" s="68"/>
      <c r="H21" s="8"/>
      <c r="I21" s="43"/>
      <c r="J21" s="69"/>
      <c r="K21" s="70"/>
      <c r="L21" s="2"/>
      <c r="M21" s="30">
        <f>G21*J21</f>
        <v>0</v>
      </c>
      <c r="N21" s="2"/>
      <c r="P21" s="110"/>
      <c r="V21" s="145"/>
      <c r="Y21" s="110"/>
    </row>
    <row r="22" spans="1:29" ht="16.5" hidden="1" customHeight="1" thickBot="1">
      <c r="A22" s="5"/>
      <c r="B22" s="5"/>
      <c r="C22" s="137"/>
      <c r="D22" s="22"/>
      <c r="E22" s="92">
        <f>E16</f>
        <v>0</v>
      </c>
      <c r="F22" s="8"/>
      <c r="G22" s="68"/>
      <c r="H22" s="8"/>
      <c r="I22" s="43"/>
      <c r="J22" s="69"/>
      <c r="K22" s="70"/>
      <c r="L22" s="2"/>
      <c r="M22" s="30"/>
      <c r="N22" s="2"/>
      <c r="P22" s="110"/>
      <c r="U22" s="1" t="s">
        <v>111</v>
      </c>
      <c r="V22" s="145"/>
    </row>
    <row r="23" spans="1:29" ht="16.5" hidden="1" customHeight="1" thickBot="1">
      <c r="A23" s="5"/>
      <c r="B23" s="5"/>
      <c r="C23" s="22"/>
      <c r="D23" s="22"/>
      <c r="E23" s="101" t="s">
        <v>100</v>
      </c>
      <c r="F23" s="102"/>
      <c r="G23" s="102">
        <f>SUM(G19:G22)</f>
        <v>0</v>
      </c>
      <c r="H23" s="103" t="s">
        <v>18</v>
      </c>
      <c r="I23" s="102"/>
      <c r="J23" s="104">
        <v>40</v>
      </c>
      <c r="K23" s="105" t="s">
        <v>52</v>
      </c>
      <c r="L23" s="102"/>
      <c r="M23" s="106">
        <f>SUM(M19:M22)</f>
        <v>0</v>
      </c>
      <c r="N23" s="2"/>
      <c r="V23" s="146">
        <f>V20-V22</f>
        <v>0</v>
      </c>
      <c r="W23" s="147" t="s">
        <v>67</v>
      </c>
    </row>
    <row r="24" spans="1:29" ht="16.5" customHeight="1" thickBot="1">
      <c r="A24" s="5"/>
      <c r="B24" s="5"/>
      <c r="C24" s="22"/>
      <c r="D24" s="22"/>
      <c r="E24" s="151"/>
      <c r="F24" s="152"/>
      <c r="G24" s="152"/>
      <c r="H24" s="153"/>
      <c r="I24" s="152"/>
      <c r="J24" s="154"/>
      <c r="K24" s="155"/>
      <c r="L24" s="152"/>
      <c r="M24" s="156"/>
      <c r="N24" s="2"/>
      <c r="V24" s="146">
        <f>V23/40</f>
        <v>0</v>
      </c>
      <c r="W24" s="147" t="s">
        <v>66</v>
      </c>
    </row>
    <row r="25" spans="1:29" ht="16.5" hidden="1" customHeight="1">
      <c r="A25" s="5" t="s">
        <v>118</v>
      </c>
      <c r="B25" s="107"/>
      <c r="C25" s="166"/>
      <c r="D25" s="22"/>
      <c r="E25" s="92"/>
      <c r="F25" s="43"/>
      <c r="G25" s="68"/>
      <c r="H25" s="8" t="s">
        <v>18</v>
      </c>
      <c r="I25" s="43"/>
      <c r="J25" s="69">
        <v>40</v>
      </c>
      <c r="K25" s="70" t="s">
        <v>52</v>
      </c>
      <c r="L25" s="2"/>
      <c r="M25" s="30">
        <f>G25*J25</f>
        <v>0</v>
      </c>
      <c r="N25" s="2"/>
    </row>
    <row r="26" spans="1:29" ht="16.5" hidden="1" customHeight="1" thickBot="1">
      <c r="A26" s="5" t="s">
        <v>119</v>
      </c>
      <c r="B26" s="5"/>
      <c r="C26" s="166"/>
      <c r="D26" s="22"/>
      <c r="E26" s="92"/>
      <c r="F26" s="8"/>
      <c r="G26" s="68"/>
      <c r="H26" s="8" t="s">
        <v>18</v>
      </c>
      <c r="I26" s="43"/>
      <c r="J26" s="69">
        <v>40</v>
      </c>
      <c r="K26" s="70" t="s">
        <v>52</v>
      </c>
      <c r="L26" s="2"/>
      <c r="M26" s="30">
        <f>G26*J26</f>
        <v>0</v>
      </c>
      <c r="N26" s="2"/>
    </row>
    <row r="27" spans="1:29" ht="16.5" hidden="1" customHeight="1" thickBot="1">
      <c r="A27" s="5"/>
      <c r="B27" s="5"/>
      <c r="C27" s="22"/>
      <c r="D27" s="22"/>
      <c r="E27" s="101" t="s">
        <v>121</v>
      </c>
      <c r="F27" s="102"/>
      <c r="G27" s="102">
        <f>SUM(G25:G26)</f>
        <v>0</v>
      </c>
      <c r="H27" s="103" t="s">
        <v>18</v>
      </c>
      <c r="I27" s="102"/>
      <c r="J27" s="104">
        <v>40</v>
      </c>
      <c r="K27" s="105" t="s">
        <v>52</v>
      </c>
      <c r="L27" s="102"/>
      <c r="M27" s="106">
        <f>SUM(M25:M26)</f>
        <v>0</v>
      </c>
      <c r="N27" s="2"/>
    </row>
    <row r="28" spans="1:29" ht="16.5" hidden="1" customHeight="1" thickBot="1">
      <c r="A28" s="5"/>
      <c r="B28" s="5"/>
      <c r="C28" s="22"/>
      <c r="D28" s="22"/>
      <c r="E28" s="151"/>
      <c r="F28" s="152"/>
      <c r="G28" s="152"/>
      <c r="H28" s="153"/>
      <c r="I28" s="152"/>
      <c r="J28" s="154"/>
      <c r="K28" s="155"/>
      <c r="L28" s="152"/>
      <c r="M28" s="157"/>
      <c r="N28" s="2"/>
    </row>
    <row r="29" spans="1:29" ht="16.5" customHeight="1" thickBot="1">
      <c r="A29" s="5" t="s">
        <v>7</v>
      </c>
      <c r="B29" s="5"/>
      <c r="C29" s="65"/>
      <c r="D29" s="22"/>
      <c r="E29" s="67"/>
      <c r="F29" s="2"/>
      <c r="G29" s="68"/>
      <c r="H29" s="68"/>
      <c r="I29" s="2"/>
      <c r="J29" s="70"/>
      <c r="K29" s="165"/>
      <c r="L29" s="2"/>
      <c r="M29" s="71" t="s">
        <v>130</v>
      </c>
      <c r="N29" s="2"/>
    </row>
    <row r="30" spans="1:29" ht="24" customHeight="1" thickBot="1">
      <c r="A30" s="6"/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64"/>
      <c r="N30" s="3"/>
    </row>
    <row r="31" spans="1:29" ht="24" customHeight="1" thickTop="1">
      <c r="A31" s="5"/>
      <c r="B31" s="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29" ht="16.5" customHeight="1">
      <c r="A32" s="5" t="s">
        <v>57</v>
      </c>
      <c r="B32" s="21">
        <f>HERRING!B44</f>
        <v>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20.2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1:14" ht="20.2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ht="20.2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</row>
    <row r="36" spans="1:14" ht="20.2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</row>
    <row r="37" spans="1:14" ht="20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20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20.25" customHeight="1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</row>
    <row r="40" spans="1:14" ht="16.5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</row>
    <row r="41" spans="1:14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</row>
    <row r="42" spans="1:14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</row>
    <row r="43" spans="1:14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</row>
    <row r="44" spans="1:14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</sheetData>
  <mergeCells count="5">
    <mergeCell ref="A11:B11"/>
    <mergeCell ref="G11:H11"/>
    <mergeCell ref="J11:K11"/>
    <mergeCell ref="A3:N3"/>
    <mergeCell ref="A4:N4"/>
  </mergeCells>
  <phoneticPr fontId="4" type="noConversion"/>
  <printOptions horizontalCentered="1"/>
  <pageMargins left="0.25" right="0.25" top="0.51" bottom="0.5" header="0.5" footer="0.5"/>
  <pageSetup scale="90"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6"/>
  <sheetViews>
    <sheetView showZeros="0" workbookViewId="0">
      <selection activeCell="E9" sqref="E9"/>
    </sheetView>
  </sheetViews>
  <sheetFormatPr defaultColWidth="9.140625" defaultRowHeight="12.75"/>
  <cols>
    <col min="1" max="1" width="21" style="1" customWidth="1"/>
    <col min="2" max="2" width="27.140625" style="1" bestFit="1" customWidth="1"/>
    <col min="3" max="3" width="14.28515625" style="1" customWidth="1"/>
    <col min="4" max="4" width="2" style="1" customWidth="1"/>
    <col min="5" max="5" width="10.28515625" style="1" customWidth="1"/>
    <col min="6" max="6" width="2.42578125" style="1" customWidth="1"/>
    <col min="7" max="7" width="2.140625" style="1" customWidth="1"/>
    <col min="8" max="8" width="3.85546875" style="1" bestFit="1" customWidth="1"/>
    <col min="9" max="9" width="3" style="1" customWidth="1"/>
    <col min="10" max="10" width="2.140625" style="1" customWidth="1"/>
    <col min="11" max="11" width="11.140625" style="1" customWidth="1"/>
    <col min="12" max="12" width="5.42578125" style="1" customWidth="1"/>
    <col min="13" max="16384" width="9.140625" style="1"/>
  </cols>
  <sheetData>
    <row r="1" spans="1:12" ht="18">
      <c r="A1" s="136" t="s">
        <v>123</v>
      </c>
    </row>
    <row r="2" spans="1:12" ht="18">
      <c r="A2" s="136"/>
    </row>
    <row r="3" spans="1:12" ht="15.75">
      <c r="A3" s="9" t="s">
        <v>110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5.75">
      <c r="A4" s="123" t="s">
        <v>109</v>
      </c>
      <c r="B4" s="135">
        <f>CONNORS!M8</f>
        <v>39370</v>
      </c>
      <c r="C4" s="19"/>
      <c r="D4" s="19"/>
      <c r="E4" s="134"/>
      <c r="F4" s="7"/>
      <c r="G4" s="7"/>
      <c r="H4" s="7"/>
      <c r="I4" s="11"/>
      <c r="J4" s="11"/>
      <c r="K4" s="11"/>
      <c r="L4" s="11"/>
    </row>
    <row r="5" spans="1:12" ht="15.75">
      <c r="A5" s="10"/>
      <c r="B5" s="133"/>
      <c r="C5" s="18"/>
      <c r="D5" s="18"/>
      <c r="E5" s="134"/>
      <c r="F5" s="5"/>
      <c r="G5" s="5"/>
      <c r="H5" s="5"/>
      <c r="I5" s="9"/>
      <c r="J5" s="9"/>
      <c r="K5" s="9"/>
      <c r="L5" s="9"/>
    </row>
    <row r="6" spans="1:12" ht="14.25">
      <c r="A6" s="499"/>
      <c r="B6" s="499"/>
      <c r="C6" s="4" t="s">
        <v>98</v>
      </c>
      <c r="D6" s="4"/>
      <c r="E6" s="4" t="s">
        <v>50</v>
      </c>
      <c r="F6" s="4"/>
      <c r="G6" s="4"/>
      <c r="H6" s="4" t="s">
        <v>51</v>
      </c>
      <c r="I6" s="4"/>
      <c r="J6" s="2"/>
      <c r="K6" s="4" t="s">
        <v>10</v>
      </c>
    </row>
    <row r="7" spans="1:12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33"/>
    </row>
    <row r="8" spans="1:12" ht="16.5" customHeight="1">
      <c r="A8" s="5" t="s">
        <v>101</v>
      </c>
      <c r="B8" s="5"/>
      <c r="C8" s="138" t="str">
        <f>CONNORS!E13</f>
        <v>ANDREW &amp; DEAN</v>
      </c>
      <c r="D8" s="43"/>
      <c r="E8" s="60">
        <f>CONNORS!G13</f>
        <v>1368</v>
      </c>
      <c r="F8" s="66" t="s">
        <v>18</v>
      </c>
      <c r="G8" s="43"/>
      <c r="H8" s="61">
        <v>40</v>
      </c>
      <c r="I8" s="62" t="s">
        <v>52</v>
      </c>
      <c r="J8" s="2"/>
      <c r="K8" s="30">
        <f>E8*H8</f>
        <v>54720</v>
      </c>
    </row>
    <row r="9" spans="1:12" ht="16.5" customHeight="1">
      <c r="A9" s="5" t="s">
        <v>101</v>
      </c>
      <c r="B9" s="5"/>
      <c r="C9" s="138">
        <f>CONNORS!E14</f>
        <v>0</v>
      </c>
      <c r="D9" s="8"/>
      <c r="E9" s="60">
        <f>CONNORS!G14</f>
        <v>0</v>
      </c>
      <c r="F9" s="66" t="s">
        <v>18</v>
      </c>
      <c r="G9" s="43"/>
      <c r="H9" s="61">
        <v>40</v>
      </c>
      <c r="I9" s="62" t="s">
        <v>52</v>
      </c>
      <c r="J9" s="2"/>
      <c r="K9" s="30">
        <f>E9*H9</f>
        <v>0</v>
      </c>
    </row>
    <row r="10" spans="1:12" ht="16.5" customHeight="1">
      <c r="A10" s="5" t="s">
        <v>101</v>
      </c>
      <c r="B10" s="5"/>
      <c r="C10" s="138">
        <f>CONNORS!E15</f>
        <v>0</v>
      </c>
      <c r="D10" s="8"/>
      <c r="E10" s="60">
        <f>CONNORS!G15</f>
        <v>0</v>
      </c>
      <c r="F10" s="66" t="s">
        <v>18</v>
      </c>
      <c r="G10" s="43"/>
      <c r="H10" s="61">
        <v>40</v>
      </c>
      <c r="I10" s="62" t="s">
        <v>52</v>
      </c>
      <c r="J10" s="2"/>
      <c r="K10" s="30">
        <f>E10*H10</f>
        <v>0</v>
      </c>
    </row>
    <row r="11" spans="1:12" ht="16.5" customHeight="1" thickBot="1">
      <c r="A11" s="5" t="s">
        <v>101</v>
      </c>
      <c r="B11" s="5"/>
      <c r="C11" s="138">
        <f>CONNORS!E16</f>
        <v>0</v>
      </c>
      <c r="D11" s="8"/>
      <c r="E11" s="60">
        <f>CONNORS!G16</f>
        <v>0</v>
      </c>
      <c r="F11" s="66" t="s">
        <v>18</v>
      </c>
      <c r="G11" s="43"/>
      <c r="H11" s="61">
        <v>40</v>
      </c>
      <c r="I11" s="62" t="s">
        <v>52</v>
      </c>
      <c r="J11" s="2"/>
      <c r="K11" s="30">
        <f>E11*H11</f>
        <v>0</v>
      </c>
    </row>
    <row r="12" spans="1:12" ht="16.5" customHeight="1" thickBot="1">
      <c r="A12" s="5"/>
      <c r="B12" s="5"/>
      <c r="C12" s="101" t="s">
        <v>99</v>
      </c>
      <c r="D12" s="102"/>
      <c r="E12" s="102">
        <f>SUM(E8:E11)</f>
        <v>1368</v>
      </c>
      <c r="F12" s="103" t="s">
        <v>18</v>
      </c>
      <c r="G12" s="102"/>
      <c r="H12" s="104">
        <v>40</v>
      </c>
      <c r="I12" s="105" t="s">
        <v>52</v>
      </c>
      <c r="J12" s="102"/>
      <c r="K12" s="106">
        <f>SUM(K8:K11)</f>
        <v>54720</v>
      </c>
    </row>
    <row r="13" spans="1:12" ht="16.5" customHeight="1">
      <c r="A13" s="5"/>
      <c r="B13" s="5"/>
      <c r="C13" s="55"/>
      <c r="D13" s="2"/>
      <c r="E13" s="60"/>
      <c r="F13" s="66"/>
      <c r="G13" s="2"/>
      <c r="H13" s="61"/>
      <c r="I13" s="62"/>
      <c r="J13" s="2"/>
      <c r="K13" s="30"/>
    </row>
    <row r="14" spans="1:12" ht="16.5" customHeight="1">
      <c r="A14" s="5" t="s">
        <v>102</v>
      </c>
      <c r="B14" s="107"/>
      <c r="C14" s="138" t="str">
        <f>C8</f>
        <v>ANDREW &amp; DEAN</v>
      </c>
      <c r="D14" s="43"/>
      <c r="E14" s="60">
        <f>CONNORS!G19</f>
        <v>0</v>
      </c>
      <c r="F14" s="66" t="s">
        <v>18</v>
      </c>
      <c r="G14" s="43"/>
      <c r="H14" s="61">
        <v>40</v>
      </c>
      <c r="I14" s="62" t="s">
        <v>52</v>
      </c>
      <c r="J14" s="2"/>
      <c r="K14" s="30">
        <f>E14*H14</f>
        <v>0</v>
      </c>
    </row>
    <row r="15" spans="1:12" ht="16.5" customHeight="1">
      <c r="A15" s="5" t="s">
        <v>102</v>
      </c>
      <c r="B15" s="5"/>
      <c r="C15" s="138">
        <f>C9</f>
        <v>0</v>
      </c>
      <c r="D15" s="8"/>
      <c r="E15" s="60">
        <f>CONNORS!G20</f>
        <v>0</v>
      </c>
      <c r="F15" s="66" t="s">
        <v>18</v>
      </c>
      <c r="G15" s="43"/>
      <c r="H15" s="61">
        <v>40</v>
      </c>
      <c r="I15" s="62" t="s">
        <v>52</v>
      </c>
      <c r="J15" s="2"/>
      <c r="K15" s="30">
        <f>E15*H15</f>
        <v>0</v>
      </c>
    </row>
    <row r="16" spans="1:12" ht="16.5" customHeight="1">
      <c r="A16" s="5" t="s">
        <v>102</v>
      </c>
      <c r="B16" s="5"/>
      <c r="C16" s="138">
        <f>C10</f>
        <v>0</v>
      </c>
      <c r="D16" s="8"/>
      <c r="E16" s="60">
        <f>CONNORS!G21</f>
        <v>0</v>
      </c>
      <c r="F16" s="66" t="s">
        <v>18</v>
      </c>
      <c r="G16" s="43"/>
      <c r="H16" s="61">
        <v>40</v>
      </c>
      <c r="I16" s="62" t="s">
        <v>52</v>
      </c>
      <c r="J16" s="2"/>
      <c r="K16" s="30">
        <f>E16*H16</f>
        <v>0</v>
      </c>
    </row>
    <row r="17" spans="1:12" ht="16.5" customHeight="1" thickBot="1">
      <c r="A17" s="5" t="s">
        <v>102</v>
      </c>
      <c r="B17" s="5"/>
      <c r="C17" s="138">
        <f>C11</f>
        <v>0</v>
      </c>
      <c r="D17" s="8"/>
      <c r="E17" s="60">
        <f>CONNORS!G22</f>
        <v>0</v>
      </c>
      <c r="F17" s="66" t="s">
        <v>18</v>
      </c>
      <c r="G17" s="43"/>
      <c r="H17" s="61">
        <v>40</v>
      </c>
      <c r="I17" s="62" t="s">
        <v>52</v>
      </c>
      <c r="J17" s="2"/>
      <c r="K17" s="30">
        <f>E17*H17</f>
        <v>0</v>
      </c>
    </row>
    <row r="18" spans="1:12" ht="16.5" customHeight="1" thickBot="1">
      <c r="A18" s="5"/>
      <c r="B18" s="5"/>
      <c r="C18" s="101" t="s">
        <v>100</v>
      </c>
      <c r="D18" s="102"/>
      <c r="E18" s="102">
        <f>SUM(E14:E17)</f>
        <v>0</v>
      </c>
      <c r="F18" s="103" t="s">
        <v>18</v>
      </c>
      <c r="G18" s="102"/>
      <c r="H18" s="104">
        <v>40</v>
      </c>
      <c r="I18" s="105" t="s">
        <v>52</v>
      </c>
      <c r="J18" s="102"/>
      <c r="K18" s="106">
        <f>SUM(K14:K17)</f>
        <v>0</v>
      </c>
    </row>
    <row r="19" spans="1:12" ht="20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20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20.2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</row>
    <row r="22" spans="1:12" ht="16.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</row>
    <row r="23" spans="1:12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</row>
    <row r="24" spans="1:12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</row>
    <row r="25" spans="1:12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</row>
    <row r="26" spans="1:12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</sheetData>
  <mergeCells count="1">
    <mergeCell ref="A6:B6"/>
  </mergeCells>
  <phoneticPr fontId="4" type="noConversion"/>
  <pageMargins left="0.25" right="0.25" top="0.51" bottom="0.5" header="0.5" footer="0.5"/>
  <pageSetup scale="90" orientation="portrait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6"/>
  <sheetViews>
    <sheetView topLeftCell="A8" workbookViewId="0">
      <selection activeCell="A8" sqref="A1:IV65536"/>
    </sheetView>
  </sheetViews>
  <sheetFormatPr defaultColWidth="9.140625" defaultRowHeight="12.75"/>
  <cols>
    <col min="1" max="1" width="13.140625" style="1" customWidth="1"/>
    <col min="2" max="2" width="10.7109375" style="1" customWidth="1"/>
    <col min="3" max="3" width="2" style="1" customWidth="1"/>
    <col min="4" max="4" width="18.140625" style="1" customWidth="1"/>
    <col min="5" max="5" width="5.28515625" style="1" customWidth="1"/>
    <col min="6" max="6" width="5.7109375" style="1" customWidth="1"/>
    <col min="7" max="7" width="4.85546875" style="1" customWidth="1"/>
    <col min="8" max="8" width="3.85546875" style="1" customWidth="1"/>
    <col min="9" max="9" width="5" style="1" customWidth="1"/>
    <col min="10" max="10" width="3.7109375" style="1" customWidth="1"/>
    <col min="11" max="11" width="5" style="1" customWidth="1"/>
    <col min="12" max="12" width="25.85546875" style="1" customWidth="1"/>
    <col min="13" max="13" width="5.7109375" style="1" hidden="1" customWidth="1"/>
    <col min="14" max="16384" width="9.140625" style="1"/>
  </cols>
  <sheetData>
    <row r="1" spans="1:14">
      <c r="A1" s="52"/>
      <c r="B1" s="52"/>
      <c r="C1" s="52"/>
      <c r="D1" s="52"/>
      <c r="E1" s="52"/>
      <c r="F1" s="52"/>
      <c r="G1" s="52"/>
      <c r="H1" s="52"/>
      <c r="I1" s="52"/>
      <c r="J1" s="52"/>
      <c r="K1" s="53"/>
      <c r="L1" s="52"/>
      <c r="M1" s="52"/>
    </row>
    <row r="2" spans="1:14">
      <c r="A2" s="52"/>
      <c r="B2" s="52"/>
      <c r="C2" s="52"/>
      <c r="D2" s="52"/>
      <c r="E2" s="52"/>
      <c r="F2" s="52"/>
      <c r="G2" s="52"/>
      <c r="H2" s="52"/>
      <c r="I2" s="52"/>
      <c r="J2" s="52"/>
      <c r="K2" s="53"/>
      <c r="L2" s="52"/>
      <c r="M2" s="52"/>
    </row>
    <row r="3" spans="1:14" ht="22.5">
      <c r="A3" s="507" t="s">
        <v>0</v>
      </c>
      <c r="B3" s="507"/>
      <c r="C3" s="507"/>
      <c r="D3" s="507"/>
      <c r="E3" s="507"/>
      <c r="F3" s="507"/>
      <c r="G3" s="507"/>
      <c r="H3" s="507"/>
      <c r="I3" s="507"/>
      <c r="J3" s="507"/>
      <c r="K3" s="507"/>
      <c r="L3" s="507"/>
      <c r="M3" s="507"/>
    </row>
    <row r="4" spans="1:14" ht="20.25">
      <c r="A4" s="508" t="s">
        <v>1</v>
      </c>
      <c r="B4" s="508"/>
      <c r="C4" s="508"/>
      <c r="D4" s="508"/>
      <c r="E4" s="508"/>
      <c r="F4" s="508"/>
      <c r="G4" s="508"/>
      <c r="H4" s="508"/>
      <c r="I4" s="508"/>
      <c r="J4" s="508"/>
      <c r="K4" s="508"/>
      <c r="L4" s="508"/>
      <c r="M4" s="508"/>
    </row>
    <row r="5" spans="1:14" ht="26.25" customHeight="1">
      <c r="A5" s="52"/>
      <c r="B5" s="52"/>
      <c r="C5" s="52"/>
      <c r="D5" s="52"/>
      <c r="E5" s="52"/>
      <c r="F5" s="52"/>
      <c r="G5" s="52"/>
      <c r="H5" s="52"/>
      <c r="I5" s="52"/>
      <c r="J5" s="52"/>
      <c r="K5" s="53"/>
      <c r="L5" s="52"/>
      <c r="M5" s="52"/>
    </row>
    <row r="6" spans="1:14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4" ht="15.75">
      <c r="A7" s="9" t="s">
        <v>22</v>
      </c>
      <c r="B7" s="13" t="str">
        <f>HERRING!B7</f>
        <v>SEA LIFE FISHERIES DIVISION</v>
      </c>
      <c r="C7" s="14"/>
      <c r="D7" s="15"/>
      <c r="E7" s="7"/>
      <c r="F7" s="7"/>
      <c r="G7" s="7"/>
      <c r="H7" s="11" t="s">
        <v>21</v>
      </c>
      <c r="I7" s="11"/>
      <c r="J7" s="11"/>
      <c r="K7" s="11"/>
      <c r="L7" s="14"/>
      <c r="M7" s="20"/>
      <c r="N7" s="2"/>
    </row>
    <row r="8" spans="1:14" ht="15.75">
      <c r="A8" s="10" t="s">
        <v>23</v>
      </c>
      <c r="B8" s="16">
        <f>HERRING!B8</f>
        <v>3341</v>
      </c>
      <c r="C8" s="58"/>
      <c r="D8" s="59"/>
      <c r="E8" s="5"/>
      <c r="F8" s="5"/>
      <c r="G8" s="5"/>
      <c r="H8" s="9" t="s">
        <v>2</v>
      </c>
      <c r="I8" s="9"/>
      <c r="J8" s="9"/>
      <c r="K8" s="9"/>
      <c r="L8" s="51"/>
      <c r="M8" s="14"/>
      <c r="N8" s="2"/>
    </row>
    <row r="9" spans="1:14" ht="14.25" customHeight="1" thickBo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2"/>
    </row>
    <row r="10" spans="1:14" ht="12.75" customHeight="1" thickTop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4.25">
      <c r="A11" s="499" t="s">
        <v>3</v>
      </c>
      <c r="B11" s="499"/>
      <c r="C11" s="2"/>
      <c r="D11" s="4" t="s">
        <v>9</v>
      </c>
      <c r="E11" s="4"/>
      <c r="F11" s="499" t="s">
        <v>50</v>
      </c>
      <c r="G11" s="499"/>
      <c r="H11" s="4"/>
      <c r="I11" s="499" t="s">
        <v>51</v>
      </c>
      <c r="J11" s="499"/>
      <c r="K11" s="2"/>
      <c r="L11" s="4" t="s">
        <v>10</v>
      </c>
      <c r="M11" s="2"/>
      <c r="N11" s="2"/>
    </row>
    <row r="12" spans="1:14" ht="9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33"/>
      <c r="M12" s="2"/>
      <c r="N12" s="2"/>
    </row>
    <row r="13" spans="1:14" ht="21" customHeight="1">
      <c r="A13" s="5" t="s">
        <v>56</v>
      </c>
      <c r="B13" s="5"/>
      <c r="C13" s="22"/>
      <c r="D13" s="54"/>
      <c r="E13" s="2"/>
      <c r="F13" s="60"/>
      <c r="G13" s="66"/>
      <c r="H13" s="2"/>
      <c r="I13" s="61"/>
      <c r="J13" s="62"/>
      <c r="K13" s="2"/>
      <c r="L13" s="30"/>
      <c r="M13" s="2"/>
      <c r="N13" s="2"/>
    </row>
    <row r="14" spans="1:14" ht="21" customHeight="1">
      <c r="A14" s="5" t="s">
        <v>56</v>
      </c>
      <c r="B14" s="5"/>
      <c r="C14" s="22"/>
      <c r="D14" s="54"/>
      <c r="E14" s="2"/>
      <c r="F14" s="60"/>
      <c r="G14" s="60"/>
      <c r="H14" s="2"/>
      <c r="I14" s="61"/>
      <c r="J14" s="62"/>
      <c r="K14" s="2"/>
      <c r="L14" s="30"/>
      <c r="M14" s="2"/>
      <c r="N14" s="2"/>
    </row>
    <row r="15" spans="1:14" ht="21" customHeight="1">
      <c r="A15" s="5" t="s">
        <v>56</v>
      </c>
      <c r="B15" s="5"/>
      <c r="C15" s="22"/>
      <c r="D15" s="55"/>
      <c r="E15" s="2"/>
      <c r="F15" s="60"/>
      <c r="G15" s="60"/>
      <c r="H15" s="2"/>
      <c r="I15" s="61"/>
      <c r="J15" s="62"/>
      <c r="K15" s="2"/>
      <c r="L15" s="30"/>
      <c r="M15" s="2"/>
      <c r="N15" s="2"/>
    </row>
    <row r="16" spans="1:14" ht="21" customHeight="1">
      <c r="A16" s="5" t="s">
        <v>56</v>
      </c>
      <c r="B16" s="5"/>
      <c r="C16" s="22"/>
      <c r="D16" s="55"/>
      <c r="E16" s="2"/>
      <c r="F16" s="60"/>
      <c r="G16" s="66"/>
      <c r="H16" s="2"/>
      <c r="I16" s="61"/>
      <c r="J16" s="62"/>
      <c r="K16" s="2"/>
      <c r="L16" s="30"/>
      <c r="M16" s="2"/>
      <c r="N16" s="2"/>
    </row>
    <row r="17" spans="1:15" ht="21" customHeight="1">
      <c r="A17" s="5" t="s">
        <v>17</v>
      </c>
      <c r="B17" s="5"/>
      <c r="C17" s="22"/>
      <c r="D17" s="54"/>
      <c r="E17" s="2"/>
      <c r="F17" s="60"/>
      <c r="G17" s="66"/>
      <c r="H17" s="2"/>
      <c r="I17" s="61"/>
      <c r="J17" s="62"/>
      <c r="K17" s="2"/>
      <c r="L17" s="30"/>
      <c r="M17" s="2"/>
      <c r="N17" s="28"/>
    </row>
    <row r="18" spans="1:15" ht="21" customHeight="1">
      <c r="A18" s="5" t="s">
        <v>17</v>
      </c>
      <c r="B18" s="5"/>
      <c r="C18" s="22"/>
      <c r="D18" s="54"/>
      <c r="E18" s="2"/>
      <c r="F18" s="60"/>
      <c r="G18" s="66"/>
      <c r="H18" s="2"/>
      <c r="I18" s="61"/>
      <c r="J18" s="62"/>
      <c r="K18" s="2"/>
      <c r="L18" s="30"/>
      <c r="M18" s="2"/>
      <c r="N18" s="2"/>
    </row>
    <row r="19" spans="1:15" ht="21" customHeight="1">
      <c r="A19" s="5" t="s">
        <v>17</v>
      </c>
      <c r="B19" s="5"/>
      <c r="C19" s="22"/>
      <c r="D19" s="54"/>
      <c r="E19" s="2"/>
      <c r="F19" s="60"/>
      <c r="G19" s="66"/>
      <c r="H19" s="2"/>
      <c r="I19" s="61"/>
      <c r="J19" s="62"/>
      <c r="K19" s="2"/>
      <c r="L19" s="30"/>
      <c r="M19" s="2"/>
      <c r="N19" s="2"/>
    </row>
    <row r="20" spans="1:15" ht="21" customHeight="1">
      <c r="A20" s="5" t="s">
        <v>17</v>
      </c>
      <c r="B20" s="5"/>
      <c r="C20" s="22"/>
      <c r="D20" s="55"/>
      <c r="E20" s="37"/>
      <c r="F20" s="60"/>
      <c r="G20" s="66"/>
      <c r="H20" s="37"/>
      <c r="I20" s="61"/>
      <c r="J20" s="62"/>
      <c r="L20" s="30"/>
      <c r="M20" s="2"/>
      <c r="N20" s="2"/>
      <c r="O20" s="45"/>
    </row>
    <row r="21" spans="1:15" ht="21" customHeight="1">
      <c r="A21" s="5" t="s">
        <v>34</v>
      </c>
      <c r="B21" s="5"/>
      <c r="C21" s="22"/>
      <c r="D21" s="56"/>
      <c r="E21" s="2"/>
      <c r="F21" s="60"/>
      <c r="G21" s="66"/>
      <c r="H21" s="2"/>
      <c r="I21" s="61"/>
      <c r="J21" s="62"/>
      <c r="K21" s="2"/>
      <c r="L21" s="30"/>
      <c r="M21" s="2"/>
      <c r="N21" s="2"/>
    </row>
    <row r="22" spans="1:15" ht="21" customHeight="1">
      <c r="A22" s="5" t="s">
        <v>41</v>
      </c>
      <c r="B22" s="5"/>
      <c r="C22" s="22"/>
      <c r="D22" s="56"/>
      <c r="E22" s="2"/>
      <c r="F22" s="60"/>
      <c r="G22" s="66"/>
      <c r="H22" s="2"/>
      <c r="I22" s="61"/>
      <c r="J22" s="62"/>
      <c r="K22" s="2"/>
      <c r="L22" s="30"/>
      <c r="M22" s="2"/>
      <c r="N22" s="2"/>
    </row>
    <row r="23" spans="1:15" ht="21" customHeight="1">
      <c r="A23" s="5" t="s">
        <v>64</v>
      </c>
      <c r="B23" s="5"/>
      <c r="C23" s="22"/>
      <c r="D23" s="56"/>
      <c r="E23" s="2"/>
      <c r="F23" s="60"/>
      <c r="G23" s="60"/>
      <c r="H23" s="2"/>
      <c r="I23" s="61"/>
      <c r="J23" s="62"/>
      <c r="K23" s="2"/>
      <c r="L23" s="30"/>
      <c r="M23" s="2"/>
      <c r="N23" s="2"/>
    </row>
    <row r="24" spans="1:15" ht="21" customHeight="1">
      <c r="A24" s="5" t="s">
        <v>64</v>
      </c>
      <c r="B24" s="5"/>
      <c r="C24" s="22"/>
      <c r="D24" s="54"/>
      <c r="E24" s="2"/>
      <c r="F24" s="60"/>
      <c r="G24" s="60"/>
      <c r="H24" s="2"/>
      <c r="I24" s="61"/>
      <c r="J24" s="62"/>
      <c r="K24" s="2"/>
      <c r="L24" s="30"/>
      <c r="M24" s="2"/>
      <c r="N24" s="2"/>
    </row>
    <row r="25" spans="1:15" ht="21" customHeight="1">
      <c r="A25" s="5" t="s">
        <v>14</v>
      </c>
      <c r="B25" s="5"/>
      <c r="C25" s="22"/>
      <c r="D25" s="54"/>
      <c r="E25" s="2"/>
      <c r="F25" s="60"/>
      <c r="G25" s="60"/>
      <c r="H25" s="2"/>
      <c r="I25" s="61"/>
      <c r="J25" s="62"/>
      <c r="K25" s="2"/>
      <c r="L25" s="30"/>
      <c r="M25" s="2"/>
      <c r="N25" s="2"/>
    </row>
    <row r="26" spans="1:15" ht="21" customHeight="1">
      <c r="A26" s="5" t="s">
        <v>14</v>
      </c>
      <c r="B26" s="5"/>
      <c r="C26" s="22"/>
      <c r="D26" s="56"/>
      <c r="E26" s="2"/>
      <c r="F26" s="60"/>
      <c r="G26" s="60"/>
      <c r="H26" s="2"/>
      <c r="I26" s="61"/>
      <c r="J26" s="62"/>
      <c r="K26" s="2"/>
      <c r="L26" s="30"/>
      <c r="M26" s="2"/>
      <c r="N26" s="2"/>
    </row>
    <row r="27" spans="1:15" ht="21" customHeight="1">
      <c r="A27" s="5" t="s">
        <v>6</v>
      </c>
      <c r="B27" s="5"/>
      <c r="C27" s="22"/>
      <c r="D27" s="54"/>
      <c r="E27" s="2"/>
      <c r="F27" s="60"/>
      <c r="G27" s="66"/>
      <c r="H27" s="2"/>
      <c r="I27" s="61"/>
      <c r="J27" s="62"/>
      <c r="K27" s="2"/>
      <c r="L27" s="30"/>
      <c r="M27" s="2"/>
      <c r="N27" s="28"/>
    </row>
    <row r="28" spans="1:15" ht="21" customHeight="1">
      <c r="A28" s="5" t="s">
        <v>54</v>
      </c>
      <c r="B28" s="5"/>
      <c r="C28" s="22"/>
      <c r="D28" s="54"/>
      <c r="E28" s="2"/>
      <c r="F28" s="60"/>
      <c r="G28" s="60"/>
      <c r="H28" s="2"/>
      <c r="I28" s="61"/>
      <c r="J28" s="62"/>
      <c r="K28" s="2"/>
      <c r="L28" s="30"/>
      <c r="M28" s="2"/>
      <c r="N28" s="28"/>
    </row>
    <row r="29" spans="1:15" ht="21" customHeight="1">
      <c r="A29" s="5" t="s">
        <v>61</v>
      </c>
      <c r="B29" s="5"/>
      <c r="C29" s="22"/>
      <c r="D29" s="54"/>
      <c r="E29" s="8"/>
      <c r="F29" s="60"/>
      <c r="G29" s="60"/>
      <c r="H29" s="8"/>
      <c r="I29" s="61"/>
      <c r="J29" s="62"/>
      <c r="K29" s="28"/>
      <c r="L29" s="30"/>
      <c r="M29" s="2"/>
      <c r="N29" s="2"/>
    </row>
    <row r="30" spans="1:15" ht="21" customHeight="1" thickBot="1">
      <c r="A30" s="5" t="s">
        <v>60</v>
      </c>
      <c r="B30" s="5"/>
      <c r="C30" s="22"/>
      <c r="D30" s="54"/>
      <c r="E30" s="8"/>
      <c r="F30" s="60"/>
      <c r="G30" s="60"/>
      <c r="H30" s="8"/>
      <c r="I30" s="61"/>
      <c r="J30" s="62"/>
      <c r="K30" s="28"/>
      <c r="L30" s="30"/>
      <c r="M30" s="2"/>
      <c r="N30" s="28"/>
    </row>
    <row r="31" spans="1:15" ht="21" customHeight="1" thickBot="1">
      <c r="A31" s="5" t="s">
        <v>7</v>
      </c>
      <c r="B31" s="5"/>
      <c r="C31" s="22"/>
      <c r="D31" s="67"/>
      <c r="E31" s="2"/>
      <c r="F31" s="68"/>
      <c r="G31" s="68"/>
      <c r="H31" s="2"/>
      <c r="I31" s="69"/>
      <c r="J31" s="70"/>
      <c r="K31" s="2"/>
      <c r="L31" s="71"/>
      <c r="M31" s="2"/>
      <c r="N31" s="2"/>
    </row>
    <row r="32" spans="1:15" ht="21" customHeight="1" thickBot="1">
      <c r="A32" s="6"/>
      <c r="B32" s="6"/>
      <c r="C32" s="3"/>
      <c r="D32" s="3"/>
      <c r="E32" s="3"/>
      <c r="F32" s="3"/>
      <c r="G32" s="3"/>
      <c r="H32" s="3"/>
      <c r="I32" s="3"/>
      <c r="J32" s="3"/>
      <c r="K32" s="3"/>
      <c r="L32" s="64"/>
      <c r="M32" s="3"/>
      <c r="N32" s="2"/>
    </row>
    <row r="33" spans="1:14" ht="21" customHeight="1" thickTop="1">
      <c r="A33" s="5"/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21" customHeight="1">
      <c r="A34" s="5" t="s">
        <v>57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"/>
    </row>
    <row r="35" spans="1:14" ht="21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"/>
    </row>
    <row r="36" spans="1:14" ht="21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"/>
    </row>
    <row r="37" spans="1:14" ht="21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"/>
    </row>
    <row r="38" spans="1:14" ht="20.2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"/>
    </row>
    <row r="39" spans="1:14" ht="20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20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20.25" customHeight="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</row>
    <row r="42" spans="1:14" ht="16.5" customHeight="1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</row>
    <row r="43" spans="1:14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</row>
    <row r="44" spans="1:14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</row>
    <row r="45" spans="1:14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</row>
    <row r="46" spans="1:14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</sheetData>
  <mergeCells count="5">
    <mergeCell ref="A3:M3"/>
    <mergeCell ref="A4:M4"/>
    <mergeCell ref="A11:B11"/>
    <mergeCell ref="F11:G11"/>
    <mergeCell ref="I11:J11"/>
  </mergeCells>
  <phoneticPr fontId="4" type="noConversion"/>
  <printOptions horizontalCentered="1"/>
  <pageMargins left="0.27" right="0.25" top="0.51" bottom="0.25" header="0.5" footer="0.5"/>
  <pageSetup scale="90" orientation="portrait" horizont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27"/>
  <sheetViews>
    <sheetView zoomScaleNormal="100" workbookViewId="0">
      <selection activeCell="D32" sqref="D32"/>
    </sheetView>
  </sheetViews>
  <sheetFormatPr defaultColWidth="9.140625" defaultRowHeight="12.75"/>
  <cols>
    <col min="1" max="1" width="16.140625" style="1" customWidth="1"/>
    <col min="2" max="2" width="13" style="1" customWidth="1"/>
    <col min="3" max="3" width="5.85546875" style="1" customWidth="1"/>
    <col min="4" max="4" width="15.5703125" style="1" customWidth="1"/>
    <col min="5" max="5" width="1.85546875" style="1" customWidth="1"/>
    <col min="6" max="6" width="8.7109375" style="1" bestFit="1" customWidth="1"/>
    <col min="7" max="7" width="3.85546875" style="1" customWidth="1"/>
    <col min="8" max="8" width="3.7109375" style="1" customWidth="1"/>
    <col min="9" max="9" width="5.7109375" style="1" customWidth="1"/>
    <col min="10" max="10" width="4.7109375" style="1" customWidth="1"/>
    <col min="11" max="11" width="2.7109375" style="1" customWidth="1"/>
    <col min="12" max="12" width="24.7109375" style="1" customWidth="1"/>
    <col min="13" max="13" width="2" style="1" customWidth="1"/>
    <col min="14" max="16384" width="9.140625" style="1"/>
  </cols>
  <sheetData>
    <row r="1" spans="1:14">
      <c r="A1" s="72"/>
      <c r="B1" s="72"/>
      <c r="C1" s="72"/>
      <c r="D1" s="72"/>
      <c r="E1" s="72"/>
      <c r="F1" s="72"/>
      <c r="G1" s="72"/>
      <c r="H1" s="72"/>
      <c r="I1" s="72"/>
      <c r="J1" s="72"/>
      <c r="K1" s="73"/>
      <c r="L1" s="72"/>
      <c r="M1" s="72"/>
    </row>
    <row r="2" spans="1:14">
      <c r="A2" s="72"/>
      <c r="B2" s="72"/>
      <c r="C2" s="72"/>
      <c r="D2" s="72"/>
      <c r="E2" s="72"/>
      <c r="F2" s="72"/>
      <c r="G2" s="72"/>
      <c r="H2" s="72"/>
      <c r="I2" s="72"/>
      <c r="J2" s="72"/>
      <c r="K2" s="73"/>
      <c r="L2" s="72"/>
      <c r="M2" s="72"/>
    </row>
    <row r="3" spans="1:14" ht="22.5">
      <c r="A3" s="503" t="s">
        <v>0</v>
      </c>
      <c r="B3" s="503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</row>
    <row r="4" spans="1:14" ht="20.25">
      <c r="A4" s="504" t="s">
        <v>55</v>
      </c>
      <c r="B4" s="504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</row>
    <row r="5" spans="1:14" ht="26.25" customHeight="1">
      <c r="A5" s="72"/>
      <c r="B5" s="72"/>
      <c r="C5" s="72"/>
      <c r="D5" s="72"/>
      <c r="E5" s="72"/>
      <c r="F5" s="72"/>
      <c r="G5" s="72"/>
      <c r="H5" s="72"/>
      <c r="I5" s="72"/>
      <c r="J5" s="72"/>
      <c r="K5" s="73"/>
      <c r="L5" s="72"/>
      <c r="M5" s="72"/>
    </row>
    <row r="6" spans="1:14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4" ht="15.75">
      <c r="A7" s="9" t="s">
        <v>22</v>
      </c>
      <c r="B7" s="13" t="s">
        <v>24</v>
      </c>
      <c r="C7" s="14"/>
      <c r="D7" s="15"/>
      <c r="E7" s="7"/>
      <c r="F7" s="7"/>
      <c r="G7" s="11" t="s">
        <v>21</v>
      </c>
      <c r="H7" s="11"/>
      <c r="I7" s="11"/>
      <c r="J7" s="11"/>
      <c r="K7" s="11"/>
      <c r="L7" s="20" t="s">
        <v>11</v>
      </c>
      <c r="M7" s="20"/>
      <c r="N7" s="2"/>
    </row>
    <row r="8" spans="1:14" ht="15.75">
      <c r="A8" s="10" t="s">
        <v>23</v>
      </c>
      <c r="B8" s="16">
        <v>3341</v>
      </c>
      <c r="C8" s="58"/>
      <c r="D8" s="59"/>
      <c r="E8" s="5"/>
      <c r="F8" s="5"/>
      <c r="G8" s="9" t="s">
        <v>2</v>
      </c>
      <c r="H8" s="9"/>
      <c r="I8" s="9"/>
      <c r="J8" s="9"/>
      <c r="K8" s="9"/>
      <c r="L8" s="100">
        <v>39609</v>
      </c>
      <c r="M8" s="14"/>
      <c r="N8" s="2"/>
    </row>
    <row r="9" spans="1:14" ht="21" customHeight="1" thickBo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77"/>
      <c r="M9" s="3"/>
      <c r="N9" s="2"/>
    </row>
    <row r="10" spans="1:14" ht="15" thickTop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4.25">
      <c r="A11" s="499" t="s">
        <v>3</v>
      </c>
      <c r="B11" s="499"/>
      <c r="C11" s="2"/>
      <c r="D11" s="4" t="s">
        <v>9</v>
      </c>
      <c r="E11" s="4"/>
      <c r="F11" s="499" t="s">
        <v>50</v>
      </c>
      <c r="G11" s="499"/>
      <c r="H11" s="4"/>
      <c r="I11" s="499" t="s">
        <v>51</v>
      </c>
      <c r="J11" s="499"/>
      <c r="K11" s="2"/>
      <c r="L11" s="4" t="s">
        <v>10</v>
      </c>
      <c r="M11" s="2"/>
      <c r="N11" s="2"/>
    </row>
    <row r="12" spans="1:14" ht="14.25" customHeight="1">
      <c r="A12" s="2"/>
      <c r="B12" s="95"/>
      <c r="C12" s="2"/>
      <c r="D12" s="2"/>
      <c r="E12" s="2"/>
      <c r="F12" s="2"/>
      <c r="G12" s="2"/>
      <c r="H12" s="2"/>
      <c r="I12" s="2"/>
      <c r="J12" s="2"/>
      <c r="K12" s="2"/>
      <c r="L12" s="33"/>
      <c r="M12" s="2"/>
      <c r="N12" s="2"/>
    </row>
    <row r="13" spans="1:14" ht="21" hidden="1" customHeight="1">
      <c r="A13" s="5" t="s">
        <v>84</v>
      </c>
      <c r="B13" s="95"/>
      <c r="C13" s="22"/>
      <c r="D13" s="54"/>
      <c r="E13" s="8"/>
      <c r="F13" s="60"/>
      <c r="G13" s="66"/>
      <c r="H13" s="8"/>
      <c r="I13" s="61"/>
      <c r="J13" s="78"/>
      <c r="K13" s="2"/>
      <c r="L13" s="30"/>
      <c r="M13" s="2"/>
      <c r="N13" s="2"/>
    </row>
    <row r="14" spans="1:14" ht="21" hidden="1" customHeight="1">
      <c r="A14" s="223" t="s">
        <v>95</v>
      </c>
      <c r="B14" s="224"/>
      <c r="C14" s="225"/>
      <c r="D14" s="226" t="s">
        <v>131</v>
      </c>
      <c r="E14" s="227"/>
      <c r="F14" s="228"/>
      <c r="G14" s="229" t="s">
        <v>18</v>
      </c>
      <c r="H14" s="227"/>
      <c r="I14" s="230">
        <v>40</v>
      </c>
      <c r="J14" s="231" t="s">
        <v>52</v>
      </c>
      <c r="K14" s="227"/>
      <c r="L14" s="232">
        <f>I14*F14</f>
        <v>0</v>
      </c>
      <c r="M14" s="2"/>
      <c r="N14" s="2"/>
    </row>
    <row r="15" spans="1:14" ht="21" hidden="1" customHeight="1">
      <c r="A15" s="223" t="s">
        <v>95</v>
      </c>
      <c r="B15" s="224"/>
      <c r="C15" s="225"/>
      <c r="D15" s="226"/>
      <c r="E15" s="227"/>
      <c r="F15" s="228"/>
      <c r="G15" s="229"/>
      <c r="H15" s="227"/>
      <c r="I15" s="230"/>
      <c r="J15" s="231"/>
      <c r="K15" s="227"/>
      <c r="L15" s="232"/>
      <c r="M15" s="2"/>
      <c r="N15" s="2"/>
    </row>
    <row r="16" spans="1:14" ht="21" hidden="1" customHeight="1">
      <c r="A16" s="223" t="s">
        <v>16</v>
      </c>
      <c r="B16" s="224"/>
      <c r="C16" s="225"/>
      <c r="D16" s="233" t="s">
        <v>134</v>
      </c>
      <c r="E16" s="227"/>
      <c r="F16" s="228"/>
      <c r="G16" s="229" t="s">
        <v>66</v>
      </c>
      <c r="H16" s="227"/>
      <c r="I16" s="230">
        <v>33</v>
      </c>
      <c r="J16" s="231" t="s">
        <v>52</v>
      </c>
      <c r="K16" s="227"/>
      <c r="L16" s="232">
        <f t="shared" ref="L16:L24" si="0">I16*F16</f>
        <v>0</v>
      </c>
      <c r="M16" s="2"/>
      <c r="N16" s="2"/>
    </row>
    <row r="17" spans="1:15" ht="21" hidden="1" customHeight="1">
      <c r="A17" s="223" t="s">
        <v>16</v>
      </c>
      <c r="B17" s="224"/>
      <c r="C17" s="225"/>
      <c r="D17" s="233" t="s">
        <v>132</v>
      </c>
      <c r="E17" s="227"/>
      <c r="F17" s="230"/>
      <c r="G17" s="229" t="s">
        <v>18</v>
      </c>
      <c r="H17" s="227"/>
      <c r="I17" s="230">
        <v>35</v>
      </c>
      <c r="J17" s="231" t="s">
        <v>52</v>
      </c>
      <c r="K17" s="227"/>
      <c r="L17" s="232">
        <f t="shared" si="0"/>
        <v>0</v>
      </c>
      <c r="M17" s="2"/>
      <c r="N17" s="2"/>
    </row>
    <row r="18" spans="1:15" ht="21" hidden="1" customHeight="1">
      <c r="A18" s="80" t="s">
        <v>53</v>
      </c>
      <c r="B18" s="221"/>
      <c r="C18" s="222"/>
      <c r="D18" s="236" t="s">
        <v>146</v>
      </c>
      <c r="E18" s="46"/>
      <c r="F18" s="237"/>
      <c r="G18" s="238" t="s">
        <v>66</v>
      </c>
      <c r="H18" s="46"/>
      <c r="I18" s="237">
        <v>35</v>
      </c>
      <c r="J18" s="239" t="s">
        <v>67</v>
      </c>
      <c r="K18" s="46"/>
      <c r="L18" s="240">
        <f t="shared" si="0"/>
        <v>0</v>
      </c>
      <c r="M18" s="2"/>
      <c r="N18" s="2"/>
    </row>
    <row r="19" spans="1:15" ht="21" customHeight="1">
      <c r="A19" s="80" t="s">
        <v>53</v>
      </c>
      <c r="B19" s="265" t="s">
        <v>178</v>
      </c>
      <c r="C19" s="222"/>
      <c r="D19" s="236" t="s">
        <v>153</v>
      </c>
      <c r="E19" s="46"/>
      <c r="F19" s="237">
        <f>2856-F20</f>
        <v>1886</v>
      </c>
      <c r="G19" s="238" t="s">
        <v>66</v>
      </c>
      <c r="H19" s="46"/>
      <c r="I19" s="237">
        <v>30</v>
      </c>
      <c r="J19" s="239" t="s">
        <v>67</v>
      </c>
      <c r="K19" s="46"/>
      <c r="L19" s="240">
        <f>I19*F19</f>
        <v>56580</v>
      </c>
      <c r="M19" s="2"/>
      <c r="N19" s="2"/>
    </row>
    <row r="20" spans="1:15" ht="21" customHeight="1" thickBot="1">
      <c r="A20" s="80" t="s">
        <v>53</v>
      </c>
      <c r="B20" s="265" t="s">
        <v>178</v>
      </c>
      <c r="C20" s="222"/>
      <c r="D20" s="236" t="s">
        <v>153</v>
      </c>
      <c r="E20" s="46"/>
      <c r="F20" s="237">
        <f>150+120+150+150+150+120+130</f>
        <v>970</v>
      </c>
      <c r="G20" s="238" t="s">
        <v>66</v>
      </c>
      <c r="H20" s="46"/>
      <c r="I20" s="237">
        <v>30</v>
      </c>
      <c r="J20" s="239" t="s">
        <v>67</v>
      </c>
      <c r="K20" s="46"/>
      <c r="L20" s="240">
        <f>I20*F20</f>
        <v>29100</v>
      </c>
      <c r="M20" s="2"/>
      <c r="N20" s="2"/>
      <c r="O20" s="45"/>
    </row>
    <row r="21" spans="1:15" ht="21" hidden="1" customHeight="1">
      <c r="A21" s="213" t="s">
        <v>135</v>
      </c>
      <c r="B21" s="245"/>
      <c r="C21" s="214"/>
      <c r="D21" s="246"/>
      <c r="E21" s="216"/>
      <c r="F21" s="218"/>
      <c r="G21" s="247" t="s">
        <v>148</v>
      </c>
      <c r="H21" s="216"/>
      <c r="I21" s="218">
        <v>100</v>
      </c>
      <c r="J21" s="248" t="s">
        <v>67</v>
      </c>
      <c r="K21" s="216"/>
      <c r="L21" s="220"/>
      <c r="M21" s="2"/>
      <c r="N21" s="2"/>
      <c r="O21" s="45"/>
    </row>
    <row r="22" spans="1:15" ht="21" hidden="1" customHeight="1">
      <c r="A22" s="213" t="s">
        <v>136</v>
      </c>
      <c r="B22" s="245"/>
      <c r="C22" s="214"/>
      <c r="D22" s="246"/>
      <c r="E22" s="216"/>
      <c r="F22" s="249"/>
      <c r="G22" s="247" t="s">
        <v>138</v>
      </c>
      <c r="H22" s="216"/>
      <c r="I22" s="218">
        <v>1000</v>
      </c>
      <c r="J22" s="248" t="s">
        <v>67</v>
      </c>
      <c r="K22" s="216"/>
      <c r="L22" s="220">
        <f>F22*I22</f>
        <v>0</v>
      </c>
      <c r="M22" s="2"/>
      <c r="N22" s="2"/>
      <c r="O22" s="45"/>
    </row>
    <row r="23" spans="1:15" ht="21" hidden="1" customHeight="1">
      <c r="A23" s="250" t="s">
        <v>81</v>
      </c>
      <c r="B23" s="250"/>
      <c r="C23" s="251"/>
      <c r="D23" s="252" t="s">
        <v>137</v>
      </c>
      <c r="E23" s="253"/>
      <c r="F23" s="254"/>
      <c r="G23" s="255" t="s">
        <v>83</v>
      </c>
      <c r="H23" s="253"/>
      <c r="I23" s="256">
        <v>270</v>
      </c>
      <c r="J23" s="257" t="s">
        <v>67</v>
      </c>
      <c r="K23" s="253"/>
      <c r="L23" s="258">
        <f>I23*F23</f>
        <v>0</v>
      </c>
      <c r="M23" s="2"/>
      <c r="N23" s="2"/>
      <c r="O23" s="45"/>
    </row>
    <row r="24" spans="1:15" ht="21" hidden="1" customHeight="1">
      <c r="A24" s="250" t="s">
        <v>81</v>
      </c>
      <c r="B24" s="250"/>
      <c r="C24" s="251"/>
      <c r="D24" s="252" t="s">
        <v>82</v>
      </c>
      <c r="E24" s="253"/>
      <c r="F24" s="254"/>
      <c r="G24" s="255" t="s">
        <v>83</v>
      </c>
      <c r="H24" s="253"/>
      <c r="I24" s="256">
        <v>235</v>
      </c>
      <c r="J24" s="257" t="s">
        <v>67</v>
      </c>
      <c r="K24" s="253"/>
      <c r="L24" s="258">
        <f t="shared" si="0"/>
        <v>0</v>
      </c>
      <c r="M24" s="2"/>
      <c r="N24" s="2"/>
    </row>
    <row r="25" spans="1:15" ht="21" hidden="1" customHeight="1">
      <c r="A25" s="250" t="s">
        <v>154</v>
      </c>
      <c r="B25" s="250"/>
      <c r="C25" s="259"/>
      <c r="D25" s="252" t="s">
        <v>82</v>
      </c>
      <c r="E25" s="253"/>
      <c r="F25" s="254"/>
      <c r="G25" s="255"/>
      <c r="H25" s="253"/>
      <c r="I25" s="256"/>
      <c r="J25" s="257" t="s">
        <v>67</v>
      </c>
      <c r="K25" s="253"/>
      <c r="L25" s="258">
        <f>F25</f>
        <v>0</v>
      </c>
      <c r="M25" s="2"/>
      <c r="N25" s="2"/>
    </row>
    <row r="26" spans="1:15" ht="21" hidden="1" customHeight="1">
      <c r="A26" s="213" t="s">
        <v>73</v>
      </c>
      <c r="B26" s="243" t="s">
        <v>145</v>
      </c>
      <c r="C26" s="214"/>
      <c r="D26" s="215" t="s">
        <v>161</v>
      </c>
      <c r="E26" s="216"/>
      <c r="F26" s="217"/>
      <c r="G26" s="217"/>
      <c r="H26" s="216"/>
      <c r="I26" s="218"/>
      <c r="J26" s="219"/>
      <c r="K26" s="216"/>
      <c r="L26" s="220">
        <f>B46+B47</f>
        <v>0</v>
      </c>
      <c r="M26" s="2"/>
      <c r="N26" s="2"/>
    </row>
    <row r="27" spans="1:15" ht="21" hidden="1" customHeight="1" thickBot="1">
      <c r="A27" s="213" t="s">
        <v>73</v>
      </c>
      <c r="B27" s="243" t="s">
        <v>145</v>
      </c>
      <c r="C27" s="214"/>
      <c r="D27" s="215" t="s">
        <v>147</v>
      </c>
      <c r="E27" s="216"/>
      <c r="F27" s="217"/>
      <c r="G27" s="247"/>
      <c r="H27" s="216"/>
      <c r="I27" s="218"/>
      <c r="J27" s="248"/>
      <c r="K27" s="216"/>
      <c r="L27" s="220">
        <f>B39+B40+B41+B42+B43</f>
        <v>0</v>
      </c>
      <c r="M27" s="2"/>
      <c r="N27" s="2"/>
    </row>
    <row r="28" spans="1:15" ht="21" hidden="1" customHeight="1">
      <c r="A28" s="213" t="s">
        <v>73</v>
      </c>
      <c r="B28" s="243" t="s">
        <v>157</v>
      </c>
      <c r="C28" s="214"/>
      <c r="D28" s="215" t="s">
        <v>147</v>
      </c>
      <c r="E28" s="216"/>
      <c r="F28" s="249"/>
      <c r="G28" s="247" t="s">
        <v>138</v>
      </c>
      <c r="H28" s="216"/>
      <c r="I28" s="218">
        <v>1750</v>
      </c>
      <c r="J28" s="248" t="s">
        <v>67</v>
      </c>
      <c r="K28" s="216"/>
      <c r="L28" s="220">
        <f>F28*I28</f>
        <v>0</v>
      </c>
      <c r="M28" s="2"/>
      <c r="N28" s="2"/>
    </row>
    <row r="29" spans="1:15" ht="21" hidden="1" customHeight="1">
      <c r="A29" s="213" t="s">
        <v>73</v>
      </c>
      <c r="B29" s="243" t="s">
        <v>151</v>
      </c>
      <c r="C29" s="214"/>
      <c r="D29" s="215" t="s">
        <v>147</v>
      </c>
      <c r="E29" s="216"/>
      <c r="F29" s="218"/>
      <c r="G29" s="247" t="s">
        <v>138</v>
      </c>
      <c r="H29" s="216"/>
      <c r="I29" s="218">
        <v>1000</v>
      </c>
      <c r="J29" s="248" t="s">
        <v>67</v>
      </c>
      <c r="K29" s="216"/>
      <c r="L29" s="220">
        <f>F29*I29</f>
        <v>0</v>
      </c>
      <c r="M29" s="2"/>
      <c r="N29" s="2"/>
    </row>
    <row r="30" spans="1:15" ht="21" hidden="1" customHeight="1" thickBot="1">
      <c r="A30" s="213" t="s">
        <v>73</v>
      </c>
      <c r="B30" s="243" t="s">
        <v>158</v>
      </c>
      <c r="C30" s="214"/>
      <c r="D30" s="215" t="s">
        <v>147</v>
      </c>
      <c r="E30" s="216"/>
      <c r="F30" s="218"/>
      <c r="G30" s="247" t="s">
        <v>138</v>
      </c>
      <c r="H30" s="216"/>
      <c r="I30" s="218">
        <v>1000</v>
      </c>
      <c r="J30" s="248" t="s">
        <v>67</v>
      </c>
      <c r="K30" s="216"/>
      <c r="L30" s="220">
        <f>F30*I30</f>
        <v>0</v>
      </c>
      <c r="M30" s="2"/>
      <c r="N30" s="28"/>
    </row>
    <row r="31" spans="1:15" ht="21" customHeight="1" thickBot="1">
      <c r="A31" s="5" t="s">
        <v>7</v>
      </c>
      <c r="B31" s="5"/>
      <c r="C31" s="22"/>
      <c r="D31" s="67"/>
      <c r="E31" s="2"/>
      <c r="F31" s="68"/>
      <c r="G31" s="68"/>
      <c r="H31" s="2"/>
      <c r="I31" s="211"/>
      <c r="J31" s="70"/>
      <c r="K31" s="2"/>
      <c r="L31" s="212">
        <v>2.4E-2</v>
      </c>
      <c r="M31" s="2"/>
      <c r="N31" s="2"/>
    </row>
    <row r="32" spans="1:15" ht="21" customHeight="1" thickBot="1">
      <c r="A32" s="6"/>
      <c r="B32" s="6"/>
      <c r="C32" s="3"/>
      <c r="D32" s="93"/>
      <c r="E32" s="3"/>
      <c r="F32" s="3"/>
      <c r="G32" s="3"/>
      <c r="H32" s="3"/>
      <c r="I32" s="512"/>
      <c r="J32" s="512"/>
      <c r="K32" s="512"/>
      <c r="L32" s="234"/>
      <c r="M32" s="3"/>
      <c r="N32" s="2"/>
    </row>
    <row r="33" spans="1:14" ht="21" customHeight="1" thickTop="1">
      <c r="A33" s="5"/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21" customHeight="1">
      <c r="A34" s="5" t="s">
        <v>8</v>
      </c>
      <c r="B34" s="98" t="s">
        <v>174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"/>
    </row>
    <row r="35" spans="1:14" ht="21" customHeight="1">
      <c r="A35" s="21" t="s">
        <v>175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"/>
    </row>
    <row r="36" spans="1:14" ht="21" customHeight="1">
      <c r="A36" s="21" t="s">
        <v>176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"/>
    </row>
    <row r="37" spans="1:14" ht="21" customHeight="1">
      <c r="A37" s="94" t="s">
        <v>177</v>
      </c>
      <c r="B37" s="94"/>
      <c r="C37" s="94"/>
      <c r="D37" s="94"/>
      <c r="E37" s="22"/>
      <c r="F37" s="22"/>
      <c r="G37" s="22"/>
      <c r="H37" s="22"/>
      <c r="I37" s="22"/>
      <c r="J37" s="22"/>
      <c r="K37" s="22"/>
      <c r="L37" s="22"/>
      <c r="M37" s="22"/>
      <c r="N37" s="2"/>
    </row>
    <row r="38" spans="1:14" ht="21" hidden="1" customHeight="1">
      <c r="A38" s="260" t="s">
        <v>162</v>
      </c>
      <c r="B38" s="170" t="s">
        <v>91</v>
      </c>
      <c r="C38" s="169"/>
      <c r="D38" s="169" t="s">
        <v>92</v>
      </c>
      <c r="E38" s="169"/>
      <c r="F38" s="169" t="s">
        <v>93</v>
      </c>
      <c r="G38" s="22"/>
      <c r="H38" s="22"/>
      <c r="I38" s="37"/>
      <c r="J38" s="2"/>
      <c r="K38" s="22"/>
      <c r="L38" s="22"/>
      <c r="M38" s="22"/>
      <c r="N38" s="2"/>
    </row>
    <row r="39" spans="1:14" ht="17.25" hidden="1" customHeight="1">
      <c r="A39" s="235" t="s">
        <v>133</v>
      </c>
      <c r="B39" s="37"/>
      <c r="C39" s="37" t="s">
        <v>52</v>
      </c>
      <c r="D39" s="37" t="s">
        <v>163</v>
      </c>
      <c r="E39" s="37"/>
      <c r="F39" s="37" t="s">
        <v>164</v>
      </c>
      <c r="G39" s="513" t="s">
        <v>155</v>
      </c>
      <c r="H39" s="2"/>
      <c r="I39" s="37"/>
      <c r="J39" s="37"/>
      <c r="K39" s="2"/>
      <c r="L39" s="89"/>
      <c r="M39" s="22"/>
      <c r="N39" s="2"/>
    </row>
    <row r="40" spans="1:14" ht="16.899999999999999" hidden="1" customHeight="1">
      <c r="A40" s="99" t="s">
        <v>133</v>
      </c>
      <c r="B40" s="37"/>
      <c r="C40" s="37" t="s">
        <v>52</v>
      </c>
      <c r="D40" s="37" t="s">
        <v>152</v>
      </c>
      <c r="E40" s="37"/>
      <c r="F40" s="37" t="s">
        <v>165</v>
      </c>
      <c r="G40" s="513"/>
      <c r="H40" s="2"/>
      <c r="I40" s="37"/>
      <c r="J40" s="37"/>
      <c r="K40" s="2"/>
      <c r="L40" s="31"/>
      <c r="M40" s="63"/>
      <c r="N40" s="63"/>
    </row>
    <row r="41" spans="1:14" ht="16.899999999999999" hidden="1" customHeight="1">
      <c r="A41" s="99" t="s">
        <v>133</v>
      </c>
      <c r="B41" s="37"/>
      <c r="C41" s="37" t="s">
        <v>52</v>
      </c>
      <c r="D41" s="37" t="s">
        <v>166</v>
      </c>
      <c r="E41" s="37"/>
      <c r="F41" s="37" t="s">
        <v>167</v>
      </c>
      <c r="G41" s="513"/>
      <c r="H41" s="2"/>
      <c r="I41" s="37"/>
      <c r="J41" s="37"/>
      <c r="K41" s="2"/>
      <c r="L41" s="31"/>
      <c r="M41" s="63"/>
      <c r="N41" s="63"/>
    </row>
    <row r="42" spans="1:14" ht="17.25" hidden="1" customHeight="1">
      <c r="A42" s="99" t="s">
        <v>133</v>
      </c>
      <c r="B42" s="37"/>
      <c r="C42" s="37" t="s">
        <v>52</v>
      </c>
      <c r="D42" s="37" t="s">
        <v>168</v>
      </c>
      <c r="E42" s="37"/>
      <c r="F42" s="37" t="s">
        <v>169</v>
      </c>
      <c r="G42" s="513"/>
      <c r="H42" s="2"/>
      <c r="I42" s="37"/>
      <c r="J42" s="37"/>
      <c r="K42" s="2"/>
      <c r="L42" s="31"/>
      <c r="M42" s="22"/>
      <c r="N42" s="2"/>
    </row>
    <row r="43" spans="1:14" ht="16.899999999999999" hidden="1" customHeight="1">
      <c r="A43" s="99" t="s">
        <v>133</v>
      </c>
      <c r="B43" s="37"/>
      <c r="C43" s="37" t="s">
        <v>52</v>
      </c>
      <c r="D43" s="37" t="s">
        <v>156</v>
      </c>
      <c r="E43" s="37"/>
      <c r="F43" s="37" t="s">
        <v>172</v>
      </c>
      <c r="G43" s="167"/>
      <c r="H43" s="2"/>
      <c r="I43" s="37"/>
      <c r="J43" s="37"/>
      <c r="K43" s="2"/>
      <c r="L43" s="31"/>
      <c r="M43" s="22"/>
      <c r="N43" s="2"/>
    </row>
    <row r="44" spans="1:14" ht="12" hidden="1" customHeight="1" thickBot="1">
      <c r="A44" s="262"/>
      <c r="B44" s="263"/>
      <c r="C44" s="263"/>
      <c r="D44" s="263"/>
      <c r="E44" s="263"/>
      <c r="F44" s="263"/>
      <c r="G44" s="167"/>
      <c r="H44" s="2"/>
      <c r="I44" s="37"/>
      <c r="J44" s="37"/>
      <c r="K44" s="2"/>
      <c r="L44" s="31"/>
      <c r="M44" s="22"/>
      <c r="N44" s="2"/>
    </row>
    <row r="45" spans="1:14" ht="10.15" hidden="1" customHeight="1">
      <c r="A45" s="99"/>
      <c r="B45" s="37"/>
      <c r="C45" s="37"/>
      <c r="D45" s="37"/>
      <c r="E45" s="37"/>
      <c r="F45" s="37"/>
      <c r="G45" s="167"/>
      <c r="H45" s="2"/>
      <c r="I45" s="37"/>
      <c r="J45" s="37"/>
      <c r="K45" s="2"/>
      <c r="L45" s="31"/>
      <c r="M45" s="22"/>
      <c r="N45" s="2"/>
    </row>
    <row r="46" spans="1:14" ht="17.25" hidden="1" customHeight="1">
      <c r="A46" s="99" t="s">
        <v>133</v>
      </c>
      <c r="B46" s="37"/>
      <c r="C46" s="37" t="s">
        <v>52</v>
      </c>
      <c r="D46" s="37" t="s">
        <v>159</v>
      </c>
      <c r="E46" s="37"/>
      <c r="F46" s="37" t="s">
        <v>170</v>
      </c>
      <c r="G46" s="513" t="s">
        <v>173</v>
      </c>
      <c r="H46" s="2"/>
      <c r="I46" s="37"/>
      <c r="J46" s="37"/>
      <c r="K46" s="2"/>
      <c r="L46" s="31"/>
      <c r="M46" s="22"/>
      <c r="N46" s="2"/>
    </row>
    <row r="47" spans="1:14" ht="17.25" hidden="1" customHeight="1">
      <c r="A47" s="99" t="s">
        <v>133</v>
      </c>
      <c r="B47" s="37"/>
      <c r="C47" s="37" t="s">
        <v>52</v>
      </c>
      <c r="D47" s="37" t="s">
        <v>160</v>
      </c>
      <c r="E47" s="37"/>
      <c r="F47" s="37" t="s">
        <v>171</v>
      </c>
      <c r="G47" s="513"/>
      <c r="H47" s="2"/>
      <c r="I47" s="37"/>
      <c r="J47" s="37"/>
      <c r="K47" s="2"/>
      <c r="L47" s="31"/>
      <c r="M47" s="22"/>
      <c r="N47" s="2"/>
    </row>
    <row r="48" spans="1:14" ht="17.25" hidden="1" customHeight="1">
      <c r="A48" s="99" t="s">
        <v>133</v>
      </c>
      <c r="B48" s="37"/>
      <c r="C48" s="37" t="s">
        <v>52</v>
      </c>
      <c r="D48" s="37"/>
      <c r="E48" s="37"/>
      <c r="F48" s="37"/>
      <c r="G48" s="513"/>
      <c r="H48" s="2"/>
      <c r="I48" s="37"/>
      <c r="J48" s="37"/>
      <c r="K48" s="2"/>
      <c r="L48" s="31"/>
      <c r="M48" s="2"/>
      <c r="N48" s="2"/>
    </row>
    <row r="49" spans="1:14" ht="17.25" hidden="1" customHeight="1">
      <c r="A49" s="99" t="s">
        <v>133</v>
      </c>
      <c r="B49" s="37"/>
      <c r="C49" s="37" t="s">
        <v>52</v>
      </c>
      <c r="D49" s="37"/>
      <c r="E49" s="37"/>
      <c r="F49" s="37"/>
      <c r="G49" s="261"/>
      <c r="H49" s="2"/>
      <c r="I49" s="2"/>
      <c r="J49" s="2"/>
      <c r="K49" s="2"/>
      <c r="L49" s="31"/>
      <c r="M49" s="2"/>
      <c r="N49" s="2"/>
    </row>
    <row r="50" spans="1:14" ht="17.25" hidden="1" customHeight="1">
      <c r="A50" s="99" t="s">
        <v>133</v>
      </c>
      <c r="B50" s="37"/>
      <c r="C50" s="37" t="s">
        <v>52</v>
      </c>
      <c r="D50" s="37"/>
      <c r="E50" s="37"/>
      <c r="F50" s="37"/>
      <c r="G50" s="68"/>
      <c r="H50" s="2"/>
      <c r="I50" s="2"/>
      <c r="J50" s="2"/>
      <c r="K50" s="2"/>
      <c r="L50" s="31"/>
      <c r="M50" s="2"/>
      <c r="N50" s="2"/>
    </row>
    <row r="51" spans="1:14" ht="17.25" hidden="1" customHeight="1">
      <c r="A51" s="99" t="s">
        <v>133</v>
      </c>
      <c r="B51" s="37"/>
      <c r="C51" s="37" t="s">
        <v>52</v>
      </c>
      <c r="D51" s="37"/>
      <c r="E51" s="37"/>
      <c r="F51" s="37"/>
      <c r="G51" s="68"/>
      <c r="H51" s="2"/>
      <c r="I51" s="2"/>
      <c r="J51" s="2"/>
      <c r="K51" s="2"/>
      <c r="L51" s="31"/>
      <c r="M51" s="2"/>
      <c r="N51" s="2"/>
    </row>
    <row r="52" spans="1:14" ht="17.25" hidden="1" customHeight="1">
      <c r="A52" s="99" t="s">
        <v>133</v>
      </c>
      <c r="B52" s="37"/>
      <c r="C52" s="37" t="s">
        <v>52</v>
      </c>
      <c r="D52" s="37"/>
      <c r="E52" s="37"/>
      <c r="F52" s="37"/>
      <c r="G52" s="68"/>
      <c r="H52" s="2"/>
      <c r="I52" s="2"/>
      <c r="J52" s="2"/>
      <c r="K52" s="2"/>
      <c r="L52" s="31"/>
      <c r="M52" s="2"/>
      <c r="N52" s="2"/>
    </row>
    <row r="53" spans="1:14" ht="17.25" hidden="1" customHeight="1">
      <c r="A53" s="235" t="s">
        <v>133</v>
      </c>
      <c r="B53" s="37"/>
      <c r="C53" s="37" t="s">
        <v>52</v>
      </c>
      <c r="D53" s="37"/>
      <c r="E53" s="37"/>
      <c r="F53" s="37"/>
      <c r="G53" s="68"/>
      <c r="H53" s="2"/>
      <c r="I53" s="2"/>
      <c r="J53" s="2"/>
      <c r="K53" s="2"/>
      <c r="L53" s="31"/>
      <c r="M53" s="2"/>
      <c r="N53" s="2"/>
    </row>
    <row r="54" spans="1:14" ht="17.25" hidden="1" customHeight="1">
      <c r="A54" s="235" t="s">
        <v>133</v>
      </c>
      <c r="B54" s="37"/>
      <c r="C54" s="37" t="s">
        <v>52</v>
      </c>
      <c r="D54" s="37"/>
      <c r="E54" s="37"/>
      <c r="F54" s="37"/>
      <c r="G54" s="68"/>
      <c r="H54" s="2"/>
      <c r="I54" s="2"/>
      <c r="J54" s="2"/>
      <c r="K54" s="2"/>
      <c r="L54" s="31"/>
      <c r="M54" s="2"/>
      <c r="N54" s="2"/>
    </row>
    <row r="55" spans="1:14" ht="17.25" hidden="1" customHeight="1">
      <c r="A55" s="235" t="s">
        <v>133</v>
      </c>
      <c r="B55" s="37"/>
      <c r="C55" s="37" t="s">
        <v>52</v>
      </c>
      <c r="D55" s="37"/>
      <c r="E55" s="37"/>
      <c r="F55" s="37"/>
      <c r="G55" s="68"/>
      <c r="H55" s="2"/>
      <c r="I55" s="2"/>
      <c r="J55" s="2"/>
      <c r="K55" s="2"/>
      <c r="L55" s="31"/>
      <c r="M55" s="2"/>
      <c r="N55" s="2"/>
    </row>
    <row r="56" spans="1:14" ht="17.25" hidden="1" customHeight="1">
      <c r="A56" s="235" t="s">
        <v>133</v>
      </c>
      <c r="B56" s="37"/>
      <c r="C56" s="37" t="s">
        <v>52</v>
      </c>
      <c r="D56" s="37"/>
      <c r="E56" s="37"/>
      <c r="F56" s="37"/>
      <c r="G56" s="68"/>
      <c r="H56" s="2"/>
      <c r="I56" s="2"/>
      <c r="J56" s="2"/>
      <c r="K56" s="2"/>
      <c r="L56" s="31"/>
      <c r="M56" s="2"/>
      <c r="N56" s="2"/>
    </row>
    <row r="57" spans="1:14" ht="17.25" hidden="1" customHeight="1">
      <c r="A57" s="235" t="s">
        <v>133</v>
      </c>
      <c r="B57" s="37"/>
      <c r="C57" s="37" t="s">
        <v>52</v>
      </c>
      <c r="D57" s="37"/>
      <c r="E57" s="37"/>
      <c r="F57" s="37"/>
      <c r="G57" s="68"/>
      <c r="H57" s="2"/>
      <c r="I57" s="2"/>
      <c r="J57" s="2"/>
      <c r="K57" s="2"/>
      <c r="L57" s="31"/>
      <c r="M57" s="2"/>
      <c r="N57" s="2"/>
    </row>
    <row r="58" spans="1:14" ht="17.25" hidden="1" customHeight="1">
      <c r="A58" s="235" t="s">
        <v>133</v>
      </c>
      <c r="B58" s="37"/>
      <c r="C58" s="37" t="s">
        <v>52</v>
      </c>
      <c r="D58" s="37"/>
      <c r="E58" s="37"/>
      <c r="F58" s="37"/>
      <c r="G58" s="68"/>
      <c r="H58" s="2"/>
      <c r="I58" s="2"/>
      <c r="J58" s="2"/>
      <c r="K58" s="2"/>
      <c r="L58" s="31"/>
      <c r="M58" s="2"/>
      <c r="N58" s="2"/>
    </row>
    <row r="59" spans="1:14" ht="17.25" hidden="1" customHeight="1">
      <c r="A59" s="235" t="s">
        <v>133</v>
      </c>
      <c r="B59" s="37"/>
      <c r="C59" s="37" t="s">
        <v>52</v>
      </c>
      <c r="D59" s="37"/>
      <c r="E59" s="37"/>
      <c r="F59" s="37"/>
      <c r="G59" s="68"/>
      <c r="H59" s="2"/>
      <c r="I59" s="2"/>
      <c r="J59" s="2"/>
      <c r="K59" s="2"/>
      <c r="L59" s="31"/>
      <c r="M59" s="2"/>
      <c r="N59" s="2"/>
    </row>
    <row r="60" spans="1:14" ht="17.25" hidden="1" customHeight="1">
      <c r="A60" s="235" t="s">
        <v>133</v>
      </c>
      <c r="B60" s="37"/>
      <c r="C60" s="37" t="s">
        <v>52</v>
      </c>
      <c r="D60" s="37"/>
      <c r="E60" s="37"/>
      <c r="F60" s="37"/>
      <c r="G60" s="68"/>
      <c r="H60" s="2"/>
      <c r="I60" s="2"/>
      <c r="J60" s="2"/>
      <c r="K60" s="2"/>
      <c r="L60" s="31"/>
      <c r="M60" s="2"/>
      <c r="N60" s="2"/>
    </row>
    <row r="61" spans="1:14" ht="17.25" hidden="1" customHeight="1">
      <c r="A61" s="235" t="s">
        <v>133</v>
      </c>
      <c r="B61" s="37"/>
      <c r="C61" s="37" t="s">
        <v>52</v>
      </c>
      <c r="D61" s="37"/>
      <c r="E61" s="37"/>
      <c r="F61" s="37"/>
      <c r="G61" s="68"/>
      <c r="H61" s="2"/>
      <c r="I61" s="2"/>
      <c r="J61" s="2"/>
      <c r="K61" s="2"/>
      <c r="L61" s="31"/>
      <c r="M61" s="2"/>
      <c r="N61" s="2"/>
    </row>
    <row r="62" spans="1:14" ht="17.25" hidden="1" customHeight="1" thickBot="1">
      <c r="A62" s="168"/>
      <c r="B62" s="168">
        <f>SUM(B39:B61)</f>
        <v>0</v>
      </c>
      <c r="C62" s="168"/>
      <c r="D62" s="168"/>
      <c r="E62" s="168"/>
      <c r="F62" s="168"/>
      <c r="G62" s="63"/>
      <c r="H62" s="63"/>
      <c r="I62" s="63"/>
      <c r="J62" s="63"/>
      <c r="K62" s="63"/>
      <c r="L62" s="63"/>
      <c r="M62" s="63"/>
      <c r="N62" s="63"/>
    </row>
    <row r="63" spans="1:14" ht="17.25" customHeight="1">
      <c r="E63" s="2"/>
      <c r="F63" s="89"/>
      <c r="G63" s="2"/>
      <c r="H63" s="2"/>
      <c r="I63" s="2"/>
      <c r="J63" s="2"/>
      <c r="K63" s="2"/>
      <c r="L63" s="2"/>
      <c r="M63" s="2"/>
      <c r="N63" s="2"/>
    </row>
    <row r="64" spans="1:14" ht="17.25" hidden="1" customHeight="1">
      <c r="A64" s="169" t="s">
        <v>141</v>
      </c>
      <c r="B64" s="170" t="s">
        <v>139</v>
      </c>
      <c r="C64" s="169"/>
      <c r="D64" s="169" t="s">
        <v>92</v>
      </c>
      <c r="E64" s="169"/>
      <c r="F64" s="169" t="s">
        <v>93</v>
      </c>
      <c r="G64" s="510" t="s">
        <v>143</v>
      </c>
      <c r="H64" s="510"/>
      <c r="I64" s="69"/>
      <c r="J64" s="70"/>
      <c r="K64" s="2"/>
      <c r="L64" s="31"/>
      <c r="M64" s="22"/>
      <c r="N64" s="2"/>
    </row>
    <row r="65" spans="1:14" ht="17.25" hidden="1" customHeight="1">
      <c r="A65" s="99" t="s">
        <v>140</v>
      </c>
      <c r="B65" s="37">
        <v>2</v>
      </c>
      <c r="C65" s="37" t="s">
        <v>142</v>
      </c>
      <c r="D65" s="37" t="s">
        <v>149</v>
      </c>
      <c r="E65" s="37"/>
      <c r="F65" s="37" t="s">
        <v>150</v>
      </c>
      <c r="G65" s="511">
        <v>39551</v>
      </c>
      <c r="H65" s="511"/>
      <c r="I65" s="241"/>
      <c r="J65" s="70"/>
      <c r="K65" s="2"/>
      <c r="L65" s="31"/>
      <c r="M65" s="22"/>
      <c r="N65" s="2"/>
    </row>
    <row r="66" spans="1:14" ht="14.25" hidden="1">
      <c r="A66" s="99" t="s">
        <v>140</v>
      </c>
      <c r="B66" s="37"/>
      <c r="C66" s="37" t="s">
        <v>142</v>
      </c>
      <c r="D66" s="37"/>
      <c r="E66" s="37"/>
      <c r="F66" s="37"/>
      <c r="G66" s="509"/>
      <c r="H66" s="509"/>
      <c r="I66" s="2"/>
      <c r="J66" s="2"/>
      <c r="K66" s="2"/>
      <c r="L66" s="2"/>
      <c r="M66" s="2"/>
      <c r="N66" s="2"/>
    </row>
    <row r="67" spans="1:14" ht="14.25" hidden="1">
      <c r="A67" s="99" t="s">
        <v>140</v>
      </c>
      <c r="B67" s="37"/>
      <c r="C67" s="37" t="s">
        <v>142</v>
      </c>
      <c r="D67" s="37"/>
      <c r="E67" s="37"/>
      <c r="F67" s="37"/>
      <c r="G67" s="509"/>
      <c r="H67" s="509"/>
      <c r="I67" s="2"/>
      <c r="J67" s="2"/>
      <c r="K67" s="2"/>
      <c r="L67" s="2"/>
      <c r="M67" s="2"/>
      <c r="N67" s="2"/>
    </row>
    <row r="68" spans="1:14" ht="14.25" hidden="1">
      <c r="A68" s="99"/>
      <c r="B68" s="37"/>
      <c r="C68" s="37"/>
      <c r="D68" s="37"/>
      <c r="E68" s="37"/>
      <c r="F68" s="37"/>
      <c r="G68" s="509"/>
      <c r="H68" s="509"/>
      <c r="I68" s="2"/>
      <c r="J68" s="2"/>
      <c r="K68" s="2"/>
      <c r="L68" s="2"/>
      <c r="M68" s="2"/>
      <c r="N68" s="2"/>
    </row>
    <row r="69" spans="1:14" ht="14.25" hidden="1">
      <c r="A69" s="99"/>
      <c r="B69" s="37"/>
      <c r="C69" s="37"/>
      <c r="D69" s="37"/>
      <c r="E69" s="37"/>
      <c r="F69" s="37"/>
      <c r="G69" s="37"/>
      <c r="H69" s="37"/>
      <c r="I69" s="2"/>
      <c r="J69" s="2"/>
      <c r="K69" s="2"/>
      <c r="L69" s="2"/>
      <c r="M69" s="2"/>
      <c r="N69" s="2"/>
    </row>
    <row r="70" spans="1:14" ht="14.25" hidden="1">
      <c r="A70" s="99"/>
      <c r="B70" s="37"/>
      <c r="C70" s="37"/>
      <c r="D70" s="37"/>
      <c r="E70" s="37"/>
      <c r="F70" s="37"/>
      <c r="G70" s="37"/>
      <c r="H70" s="37"/>
      <c r="I70" s="2"/>
      <c r="J70" s="2"/>
      <c r="K70" s="2"/>
      <c r="L70" s="2"/>
      <c r="M70" s="2"/>
      <c r="N70" s="2"/>
    </row>
    <row r="71" spans="1:14" ht="14.25" hidden="1">
      <c r="A71" s="235"/>
      <c r="B71" s="37"/>
      <c r="C71" s="37"/>
      <c r="D71" s="37"/>
      <c r="E71" s="37"/>
      <c r="F71" s="37"/>
      <c r="G71" s="37"/>
      <c r="H71" s="37"/>
      <c r="I71" s="2"/>
      <c r="J71" s="2"/>
      <c r="K71" s="2"/>
      <c r="L71" s="2"/>
      <c r="M71" s="2"/>
      <c r="N71" s="2"/>
    </row>
    <row r="72" spans="1:14" ht="14.25" hidden="1">
      <c r="A72" s="235"/>
      <c r="B72" s="37"/>
      <c r="C72" s="37"/>
      <c r="D72" s="37"/>
      <c r="E72" s="37"/>
      <c r="F72" s="37"/>
      <c r="G72" s="37"/>
      <c r="H72" s="37"/>
      <c r="I72" s="2"/>
      <c r="J72" s="2"/>
      <c r="K72" s="2"/>
      <c r="L72" s="2"/>
      <c r="M72" s="2"/>
      <c r="N72" s="2"/>
    </row>
    <row r="73" spans="1:14" ht="14.25" hidden="1">
      <c r="A73" s="235"/>
      <c r="B73" s="37"/>
      <c r="C73" s="37"/>
      <c r="D73" s="37"/>
      <c r="E73" s="37"/>
      <c r="F73" s="37"/>
      <c r="G73" s="37"/>
      <c r="H73" s="37"/>
      <c r="I73" s="2"/>
      <c r="J73" s="2"/>
      <c r="K73" s="2"/>
      <c r="L73" s="2"/>
      <c r="M73" s="2"/>
      <c r="N73" s="2"/>
    </row>
    <row r="74" spans="1:14" ht="14.25" hidden="1">
      <c r="A74" s="99"/>
      <c r="B74" s="37"/>
      <c r="C74" s="37"/>
      <c r="D74" s="37"/>
      <c r="E74" s="37"/>
      <c r="F74" s="37"/>
      <c r="G74" s="37"/>
      <c r="H74" s="37"/>
      <c r="I74" s="2"/>
      <c r="J74" s="2"/>
      <c r="K74" s="2"/>
      <c r="L74" s="2"/>
      <c r="M74" s="2"/>
      <c r="N74" s="2"/>
    </row>
    <row r="75" spans="1:14" ht="15" hidden="1" thickBot="1">
      <c r="A75" s="168"/>
      <c r="B75" s="168">
        <f>SUM(B65:B74)</f>
        <v>2</v>
      </c>
      <c r="C75" s="168"/>
      <c r="D75" s="168"/>
      <c r="E75" s="168"/>
      <c r="F75" s="168"/>
      <c r="G75" s="168"/>
      <c r="H75" s="168"/>
      <c r="I75" s="2"/>
      <c r="J75" s="2"/>
      <c r="K75" s="2"/>
      <c r="L75" s="2"/>
      <c r="M75" s="2"/>
      <c r="N75" s="2"/>
    </row>
    <row r="76" spans="1:14" ht="15" hidden="1" thickTop="1">
      <c r="A76" s="2"/>
      <c r="B76" s="24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4.25" hidden="1">
      <c r="A77" s="169" t="s">
        <v>144</v>
      </c>
      <c r="B77" s="170"/>
      <c r="C77" s="169"/>
      <c r="D77" s="169" t="s">
        <v>92</v>
      </c>
      <c r="E77" s="169"/>
      <c r="F77" s="169" t="s">
        <v>93</v>
      </c>
      <c r="G77" s="510" t="s">
        <v>143</v>
      </c>
      <c r="H77" s="510"/>
      <c r="I77" s="69"/>
      <c r="J77" s="2"/>
      <c r="K77" s="2"/>
      <c r="L77" s="2"/>
      <c r="M77" s="2"/>
      <c r="N77" s="2"/>
    </row>
    <row r="78" spans="1:14" ht="14.25" hidden="1">
      <c r="A78" s="99" t="s">
        <v>144</v>
      </c>
      <c r="B78" s="37"/>
      <c r="C78" s="37" t="s">
        <v>67</v>
      </c>
      <c r="D78" s="37" t="s">
        <v>125</v>
      </c>
      <c r="E78" s="37"/>
      <c r="F78" s="37"/>
      <c r="G78" s="511"/>
      <c r="H78" s="511"/>
      <c r="I78" s="241"/>
      <c r="J78" s="2"/>
      <c r="K78" s="2"/>
      <c r="L78" s="2"/>
      <c r="M78" s="2"/>
      <c r="N78" s="2"/>
    </row>
    <row r="79" spans="1:14" ht="14.25" hidden="1">
      <c r="A79" s="99" t="s">
        <v>144</v>
      </c>
      <c r="B79" s="37"/>
      <c r="C79" s="37" t="s">
        <v>67</v>
      </c>
      <c r="D79" s="37" t="s">
        <v>125</v>
      </c>
      <c r="E79" s="37"/>
      <c r="F79" s="37"/>
      <c r="G79" s="509"/>
      <c r="H79" s="509"/>
      <c r="I79" s="2"/>
      <c r="J79" s="2"/>
      <c r="K79" s="2"/>
      <c r="L79" s="2"/>
      <c r="M79" s="2"/>
      <c r="N79" s="2"/>
    </row>
    <row r="80" spans="1:14" ht="14.25" hidden="1">
      <c r="A80" s="99"/>
      <c r="B80" s="37"/>
      <c r="C80" s="37"/>
      <c r="D80" s="37"/>
      <c r="E80" s="37"/>
      <c r="F80" s="37"/>
      <c r="G80" s="509"/>
      <c r="H80" s="509"/>
      <c r="I80" s="2"/>
      <c r="J80" s="2"/>
      <c r="K80" s="2"/>
      <c r="L80" s="2"/>
      <c r="M80" s="2"/>
      <c r="N80" s="2"/>
    </row>
    <row r="81" spans="1:14" ht="14.25" hidden="1">
      <c r="A81" s="99"/>
      <c r="B81" s="37"/>
      <c r="C81" s="37"/>
      <c r="D81" s="37"/>
      <c r="E81" s="37"/>
      <c r="F81" s="37"/>
      <c r="G81" s="509"/>
      <c r="H81" s="509"/>
      <c r="I81" s="2"/>
      <c r="J81" s="2"/>
      <c r="K81" s="2"/>
      <c r="L81" s="2"/>
      <c r="M81" s="2"/>
      <c r="N81" s="2"/>
    </row>
    <row r="82" spans="1:14" ht="14.25" hidden="1">
      <c r="A82" s="99"/>
      <c r="B82" s="37"/>
      <c r="C82" s="37"/>
      <c r="D82" s="37"/>
      <c r="E82" s="37"/>
      <c r="F82" s="37"/>
      <c r="G82" s="37"/>
      <c r="H82" s="37"/>
      <c r="I82" s="2"/>
      <c r="J82" s="2"/>
      <c r="K82" s="2"/>
      <c r="L82" s="2"/>
      <c r="M82" s="2"/>
      <c r="N82" s="2"/>
    </row>
    <row r="83" spans="1:14" ht="14.25" hidden="1">
      <c r="A83" s="99"/>
      <c r="B83" s="37"/>
      <c r="C83" s="37"/>
      <c r="D83" s="37"/>
      <c r="E83" s="37"/>
      <c r="F83" s="37"/>
      <c r="G83" s="37"/>
      <c r="H83" s="37"/>
      <c r="I83" s="2"/>
      <c r="J83" s="2"/>
      <c r="K83" s="2"/>
      <c r="L83" s="2"/>
      <c r="M83" s="2"/>
      <c r="N83" s="2"/>
    </row>
    <row r="84" spans="1:14" ht="14.25" hidden="1">
      <c r="A84" s="235"/>
      <c r="B84" s="37"/>
      <c r="C84" s="37"/>
      <c r="D84" s="37"/>
      <c r="E84" s="37"/>
      <c r="F84" s="37"/>
      <c r="G84" s="37"/>
      <c r="H84" s="37"/>
      <c r="I84" s="2"/>
      <c r="J84" s="2"/>
      <c r="K84" s="2"/>
      <c r="L84" s="2"/>
      <c r="M84" s="2"/>
      <c r="N84" s="2"/>
    </row>
    <row r="85" spans="1:14" ht="14.25" hidden="1">
      <c r="A85" s="235"/>
      <c r="B85" s="37"/>
      <c r="C85" s="37"/>
      <c r="D85" s="37"/>
      <c r="E85" s="37"/>
      <c r="F85" s="37"/>
      <c r="G85" s="37"/>
      <c r="H85" s="37"/>
      <c r="I85" s="2"/>
      <c r="J85" s="2"/>
      <c r="K85" s="2"/>
      <c r="L85" s="2"/>
      <c r="M85" s="2"/>
      <c r="N85" s="2"/>
    </row>
    <row r="86" spans="1:14" ht="14.25" hidden="1">
      <c r="A86" s="235"/>
      <c r="B86" s="37"/>
      <c r="C86" s="37"/>
      <c r="D86" s="37"/>
      <c r="E86" s="37"/>
      <c r="F86" s="37"/>
      <c r="G86" s="37"/>
      <c r="H86" s="37"/>
      <c r="I86" s="2"/>
      <c r="J86" s="2"/>
      <c r="K86" s="2"/>
      <c r="L86" s="2"/>
      <c r="M86" s="2"/>
      <c r="N86" s="2"/>
    </row>
    <row r="87" spans="1:14" ht="14.25" hidden="1">
      <c r="A87" s="99"/>
      <c r="B87" s="37"/>
      <c r="C87" s="37"/>
      <c r="D87" s="37"/>
      <c r="E87" s="37"/>
      <c r="F87" s="37"/>
      <c r="G87" s="37"/>
      <c r="H87" s="37"/>
      <c r="I87" s="2"/>
      <c r="J87" s="2"/>
      <c r="K87" s="2"/>
      <c r="L87" s="2"/>
      <c r="M87" s="2"/>
      <c r="N87" s="2"/>
    </row>
    <row r="88" spans="1:14" ht="15" hidden="1" thickBot="1">
      <c r="A88" s="168"/>
      <c r="B88" s="168">
        <f>SUM(B78:B87)</f>
        <v>0</v>
      </c>
      <c r="C88" s="168"/>
      <c r="D88" s="168"/>
      <c r="E88" s="168"/>
      <c r="F88" s="168"/>
      <c r="G88" s="168"/>
      <c r="H88" s="168"/>
      <c r="I88" s="2"/>
      <c r="J88" s="2"/>
      <c r="K88" s="2"/>
      <c r="L88" s="2"/>
      <c r="M88" s="2"/>
      <c r="N88" s="2"/>
    </row>
    <row r="89" spans="1:14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</sheetData>
  <mergeCells count="18">
    <mergeCell ref="I32:K32"/>
    <mergeCell ref="A11:B11"/>
    <mergeCell ref="G39:G42"/>
    <mergeCell ref="G46:G48"/>
    <mergeCell ref="A3:M3"/>
    <mergeCell ref="A4:M4"/>
    <mergeCell ref="F11:G11"/>
    <mergeCell ref="I11:J11"/>
    <mergeCell ref="G68:H68"/>
    <mergeCell ref="G64:H64"/>
    <mergeCell ref="G65:H65"/>
    <mergeCell ref="G81:H81"/>
    <mergeCell ref="G77:H77"/>
    <mergeCell ref="G78:H78"/>
    <mergeCell ref="G79:H79"/>
    <mergeCell ref="G80:H80"/>
    <mergeCell ref="G66:H66"/>
    <mergeCell ref="G67:H67"/>
  </mergeCells>
  <phoneticPr fontId="4" type="noConversion"/>
  <printOptions horizontalCentered="1"/>
  <pageMargins left="0.27" right="0.25" top="0.51" bottom="0.5" header="0.5" footer="0.5"/>
  <pageSetup scale="95" orientation="portrait" horizontalDpi="4294967293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156"/>
  <sheetViews>
    <sheetView workbookViewId="0">
      <pane ySplit="11" topLeftCell="A23" activePane="bottomLeft" state="frozen"/>
      <selection pane="bottomLeft" activeCell="K28" sqref="K28"/>
    </sheetView>
  </sheetViews>
  <sheetFormatPr defaultColWidth="8.85546875" defaultRowHeight="12.75"/>
  <cols>
    <col min="1" max="1" width="23.42578125" style="270" customWidth="1"/>
    <col min="2" max="7" width="10" style="270" customWidth="1"/>
    <col min="8" max="8" width="21" style="270" hidden="1" customWidth="1"/>
    <col min="9" max="9" width="8.85546875" style="270" customWidth="1"/>
    <col min="10" max="10" width="0" style="270" hidden="1" customWidth="1"/>
    <col min="11" max="16384" width="8.85546875" style="270"/>
  </cols>
  <sheetData>
    <row r="1" spans="1:10" ht="13.5" thickTop="1">
      <c r="A1" s="267"/>
      <c r="B1" s="268"/>
      <c r="C1" s="268"/>
      <c r="D1" s="268"/>
      <c r="E1" s="268"/>
      <c r="F1" s="268"/>
      <c r="G1" s="268"/>
      <c r="H1" s="268"/>
      <c r="I1" s="268"/>
      <c r="J1" s="269"/>
    </row>
    <row r="2" spans="1:10">
      <c r="A2" s="271"/>
      <c r="B2" s="272"/>
      <c r="C2" s="272"/>
      <c r="D2" s="272"/>
      <c r="E2" s="272"/>
      <c r="F2" s="272"/>
      <c r="G2" s="272"/>
      <c r="H2" s="272"/>
      <c r="I2" s="272"/>
      <c r="J2" s="273"/>
    </row>
    <row r="3" spans="1:10" ht="18">
      <c r="A3" s="514" t="s">
        <v>0</v>
      </c>
      <c r="B3" s="515"/>
      <c r="C3" s="515"/>
      <c r="D3" s="515"/>
      <c r="E3" s="515"/>
      <c r="F3" s="515"/>
      <c r="G3" s="515"/>
      <c r="H3" s="515"/>
      <c r="I3" s="515"/>
      <c r="J3" s="516"/>
    </row>
    <row r="4" spans="1:10" ht="20.25">
      <c r="A4" s="517" t="s">
        <v>126</v>
      </c>
      <c r="B4" s="518"/>
      <c r="C4" s="518"/>
      <c r="D4" s="518"/>
      <c r="E4" s="518"/>
      <c r="F4" s="518"/>
      <c r="G4" s="518"/>
      <c r="H4" s="518"/>
      <c r="I4" s="518"/>
      <c r="J4" s="519"/>
    </row>
    <row r="5" spans="1:10">
      <c r="A5" s="271"/>
      <c r="B5" s="272"/>
      <c r="C5" s="272"/>
      <c r="D5" s="272"/>
      <c r="E5" s="272"/>
      <c r="F5" s="272"/>
      <c r="G5" s="272"/>
      <c r="H5" s="272"/>
      <c r="I5" s="272"/>
      <c r="J5" s="273"/>
    </row>
    <row r="6" spans="1:10" ht="14.25">
      <c r="A6" s="274"/>
      <c r="B6" s="275"/>
      <c r="C6" s="275"/>
      <c r="D6" s="275"/>
      <c r="E6" s="275"/>
      <c r="F6" s="275"/>
      <c r="G6" s="275"/>
      <c r="H6" s="275"/>
      <c r="I6" s="275"/>
      <c r="J6" s="276"/>
    </row>
    <row r="7" spans="1:10" ht="16.5" thickBot="1">
      <c r="A7" s="277" t="s">
        <v>22</v>
      </c>
      <c r="B7" s="278" t="s">
        <v>24</v>
      </c>
      <c r="C7" s="279"/>
      <c r="D7" s="279"/>
      <c r="E7" s="280"/>
      <c r="F7" s="281"/>
      <c r="G7" s="282"/>
      <c r="H7" s="283"/>
      <c r="I7" s="283"/>
      <c r="J7" s="273"/>
    </row>
    <row r="8" spans="1:10" ht="15.75" thickBot="1">
      <c r="A8" s="284" t="s">
        <v>23</v>
      </c>
      <c r="B8" s="285">
        <v>3341</v>
      </c>
      <c r="C8" s="286"/>
      <c r="D8" s="520" t="e">
        <f>#REF!</f>
        <v>#REF!</v>
      </c>
      <c r="E8" s="520"/>
      <c r="F8" s="520"/>
      <c r="G8" s="520"/>
      <c r="H8" s="520"/>
      <c r="I8" s="520"/>
      <c r="J8" s="521"/>
    </row>
    <row r="9" spans="1:10" ht="15" thickBot="1">
      <c r="A9" s="287"/>
      <c r="B9" s="288"/>
      <c r="C9" s="288"/>
      <c r="D9" s="288"/>
      <c r="E9" s="288"/>
      <c r="F9" s="288"/>
      <c r="G9" s="288"/>
      <c r="H9" s="288"/>
      <c r="I9" s="288"/>
      <c r="J9" s="289"/>
    </row>
    <row r="10" spans="1:10" ht="14.25" thickTop="1" thickBot="1"/>
    <row r="11" spans="1:10" ht="21.75" customHeight="1" thickTop="1" thickBot="1">
      <c r="A11" s="290" t="s">
        <v>127</v>
      </c>
      <c r="B11" s="304" t="s">
        <v>185</v>
      </c>
      <c r="C11" s="304" t="s">
        <v>187</v>
      </c>
      <c r="D11" s="305" t="s">
        <v>188</v>
      </c>
      <c r="E11" s="304" t="s">
        <v>189</v>
      </c>
      <c r="F11" s="304" t="s">
        <v>190</v>
      </c>
      <c r="G11" s="305" t="s">
        <v>36</v>
      </c>
      <c r="H11" s="305" t="s">
        <v>184</v>
      </c>
      <c r="I11" s="307"/>
      <c r="J11" s="290"/>
    </row>
    <row r="12" spans="1:10" ht="13.5" thickTop="1">
      <c r="B12" s="310"/>
      <c r="C12" s="310"/>
      <c r="D12" s="310"/>
      <c r="E12" s="310"/>
      <c r="F12" s="310"/>
      <c r="G12" s="310"/>
      <c r="H12" s="310"/>
      <c r="I12" s="310"/>
    </row>
    <row r="13" spans="1:10">
      <c r="B13" s="310"/>
      <c r="C13" s="310"/>
      <c r="D13" s="310"/>
      <c r="E13" s="310"/>
      <c r="F13" s="310"/>
      <c r="G13" s="310"/>
      <c r="H13" s="310"/>
      <c r="I13" s="310"/>
    </row>
    <row r="14" spans="1:10">
      <c r="B14" s="310"/>
      <c r="C14" s="310"/>
      <c r="D14" s="310"/>
      <c r="E14" s="310"/>
      <c r="F14" s="310"/>
      <c r="G14" s="310"/>
      <c r="H14" s="310"/>
      <c r="I14" s="310"/>
    </row>
    <row r="15" spans="1:10" ht="13.5" customHeight="1">
      <c r="B15" s="310"/>
      <c r="C15" s="310"/>
      <c r="D15" s="310"/>
      <c r="E15" s="310"/>
      <c r="F15" s="310">
        <v>104</v>
      </c>
      <c r="G15" s="310"/>
      <c r="H15" s="310"/>
      <c r="I15" s="310"/>
    </row>
    <row r="16" spans="1:10">
      <c r="B16" s="310"/>
      <c r="C16" s="310"/>
      <c r="D16" s="310"/>
      <c r="E16" s="310"/>
      <c r="F16" s="310">
        <v>156</v>
      </c>
      <c r="G16" s="310"/>
      <c r="H16" s="310"/>
      <c r="I16" s="310"/>
    </row>
    <row r="17" spans="1:12">
      <c r="B17" s="310"/>
      <c r="C17" s="310"/>
      <c r="D17" s="310">
        <v>44</v>
      </c>
      <c r="E17" s="310">
        <f>52*4</f>
        <v>208</v>
      </c>
      <c r="F17" s="310">
        <v>38</v>
      </c>
      <c r="G17" s="310"/>
      <c r="H17" s="310"/>
      <c r="I17" s="310"/>
    </row>
    <row r="18" spans="1:12">
      <c r="B18" s="310"/>
      <c r="C18" s="310"/>
      <c r="D18" s="310"/>
      <c r="E18" s="310"/>
      <c r="F18" s="310">
        <f>20*52</f>
        <v>1040</v>
      </c>
      <c r="G18" s="310"/>
      <c r="H18" s="310"/>
      <c r="I18" s="310"/>
    </row>
    <row r="19" spans="1:12">
      <c r="B19" s="310"/>
      <c r="C19" s="310"/>
      <c r="D19" s="310"/>
      <c r="E19" s="310"/>
      <c r="F19" s="310">
        <v>1040</v>
      </c>
      <c r="G19" s="310"/>
      <c r="H19" s="310"/>
      <c r="I19" s="310"/>
    </row>
    <row r="20" spans="1:12">
      <c r="B20" s="310"/>
      <c r="C20" s="310"/>
      <c r="D20" s="310"/>
      <c r="E20" s="310"/>
      <c r="F20" s="310">
        <f>12*52</f>
        <v>624</v>
      </c>
      <c r="G20" s="310"/>
      <c r="H20" s="310"/>
      <c r="I20" s="310"/>
    </row>
    <row r="21" spans="1:12">
      <c r="B21" s="310"/>
      <c r="C21" s="310"/>
      <c r="D21" s="310">
        <f>4*52</f>
        <v>208</v>
      </c>
      <c r="E21" s="310"/>
      <c r="F21" s="310">
        <f>18*52</f>
        <v>936</v>
      </c>
      <c r="G21" s="310"/>
      <c r="H21" s="310"/>
      <c r="I21" s="310"/>
    </row>
    <row r="22" spans="1:12">
      <c r="B22" s="310"/>
      <c r="C22" s="310"/>
      <c r="D22" s="310"/>
      <c r="E22" s="310"/>
      <c r="F22" s="310">
        <f>18*52</f>
        <v>936</v>
      </c>
      <c r="G22" s="310"/>
      <c r="H22" s="310"/>
      <c r="I22" s="310"/>
    </row>
    <row r="23" spans="1:12">
      <c r="B23" s="310"/>
      <c r="C23" s="310"/>
      <c r="D23" s="310"/>
      <c r="E23" s="310"/>
      <c r="F23" s="310">
        <v>52</v>
      </c>
      <c r="G23" s="310"/>
      <c r="H23" s="310"/>
      <c r="I23" s="310"/>
    </row>
    <row r="24" spans="1:12" hidden="1">
      <c r="B24" s="310"/>
      <c r="C24" s="310"/>
      <c r="D24" s="310"/>
      <c r="E24" s="310"/>
      <c r="F24" s="310"/>
      <c r="G24" s="310"/>
      <c r="H24" s="310"/>
      <c r="I24" s="310"/>
    </row>
    <row r="25" spans="1:12" hidden="1">
      <c r="B25" s="310"/>
      <c r="C25" s="310"/>
      <c r="D25" s="310"/>
      <c r="E25" s="310"/>
      <c r="F25" s="310"/>
      <c r="G25" s="310"/>
      <c r="H25" s="310"/>
      <c r="I25" s="310"/>
    </row>
    <row r="26" spans="1:12" hidden="1">
      <c r="B26" s="310"/>
      <c r="C26" s="310"/>
      <c r="D26" s="310"/>
      <c r="E26" s="310"/>
      <c r="F26" s="310"/>
      <c r="G26" s="310"/>
      <c r="H26" s="310"/>
      <c r="I26" s="310"/>
    </row>
    <row r="27" spans="1:12" ht="24.75" customHeight="1">
      <c r="A27" s="313" t="s">
        <v>183</v>
      </c>
      <c r="B27" s="292">
        <f>SUM(B12:B26)</f>
        <v>0</v>
      </c>
      <c r="C27" s="292">
        <f t="shared" ref="C27:F27" si="0">SUM(C12:C26)</f>
        <v>0</v>
      </c>
      <c r="D27" s="292">
        <f t="shared" si="0"/>
        <v>252</v>
      </c>
      <c r="E27" s="292">
        <f t="shared" si="0"/>
        <v>208</v>
      </c>
      <c r="F27" s="292">
        <f t="shared" si="0"/>
        <v>4926</v>
      </c>
      <c r="G27" s="292">
        <f>SUM(G12:G26)</f>
        <v>0</v>
      </c>
      <c r="H27" s="292">
        <f>SUM(H12:H26)</f>
        <v>0</v>
      </c>
      <c r="I27" s="292">
        <f>SUM(I12:I19)</f>
        <v>0</v>
      </c>
      <c r="J27" s="292"/>
      <c r="K27" s="270">
        <f>F27+E27</f>
        <v>5134</v>
      </c>
      <c r="L27" s="270">
        <f>E27+F27</f>
        <v>5134</v>
      </c>
    </row>
    <row r="28" spans="1:12" ht="15.75">
      <c r="A28" s="308" t="s">
        <v>87</v>
      </c>
      <c r="B28" s="309"/>
      <c r="C28" s="309"/>
      <c r="D28" s="309">
        <v>44</v>
      </c>
      <c r="E28" s="309">
        <f>300+150</f>
        <v>450</v>
      </c>
      <c r="F28" s="309">
        <f>5216-150-150-150</f>
        <v>4766</v>
      </c>
      <c r="G28" s="309"/>
      <c r="H28" s="309">
        <v>91</v>
      </c>
      <c r="I28" s="309"/>
      <c r="J28" s="292"/>
      <c r="L28" s="306"/>
    </row>
    <row r="29" spans="1:12" ht="13.5" thickBot="1">
      <c r="A29" s="312" t="s">
        <v>88</v>
      </c>
      <c r="B29" s="312">
        <f t="shared" ref="B29:E29" si="1">B28-B27</f>
        <v>0</v>
      </c>
      <c r="C29" s="312">
        <f t="shared" si="1"/>
        <v>0</v>
      </c>
      <c r="D29" s="312">
        <f t="shared" si="1"/>
        <v>-208</v>
      </c>
      <c r="E29" s="312">
        <f t="shared" si="1"/>
        <v>242</v>
      </c>
      <c r="F29" s="312">
        <f>F28-F27</f>
        <v>-160</v>
      </c>
      <c r="G29" s="312"/>
      <c r="H29" s="312">
        <f>H27-H28</f>
        <v>-91</v>
      </c>
      <c r="I29" s="312">
        <f>I28-I27</f>
        <v>0</v>
      </c>
      <c r="J29" s="292"/>
    </row>
    <row r="30" spans="1:12" ht="13.5" thickTop="1">
      <c r="J30" s="292">
        <f t="shared" ref="J30:J38" si="2">SUM(B30:I30)</f>
        <v>0</v>
      </c>
    </row>
    <row r="31" spans="1:12" ht="15.75">
      <c r="A31" s="308" t="s">
        <v>182</v>
      </c>
      <c r="B31" s="309"/>
      <c r="C31" s="309"/>
      <c r="D31" s="309">
        <v>44</v>
      </c>
      <c r="E31" s="309"/>
      <c r="F31" s="309">
        <f>5134</f>
        <v>5134</v>
      </c>
      <c r="G31" s="309"/>
      <c r="H31" s="309"/>
      <c r="I31" s="309"/>
      <c r="J31" s="292"/>
      <c r="K31" s="270">
        <f>F31+E31</f>
        <v>5134</v>
      </c>
    </row>
    <row r="32" spans="1:12" ht="13.5" thickBot="1">
      <c r="A32" s="312" t="s">
        <v>88</v>
      </c>
      <c r="B32" s="312">
        <f t="shared" ref="B32:I32" si="3">B27-B31</f>
        <v>0</v>
      </c>
      <c r="C32" s="312">
        <f t="shared" si="3"/>
        <v>0</v>
      </c>
      <c r="D32" s="312">
        <f t="shared" si="3"/>
        <v>208</v>
      </c>
      <c r="E32" s="312">
        <f t="shared" si="3"/>
        <v>208</v>
      </c>
      <c r="F32" s="312">
        <f>F27-F31</f>
        <v>-208</v>
      </c>
      <c r="G32" s="312">
        <f>G27-G31</f>
        <v>0</v>
      </c>
      <c r="H32" s="312">
        <f>H27-H31</f>
        <v>0</v>
      </c>
      <c r="I32" s="312">
        <f t="shared" si="3"/>
        <v>0</v>
      </c>
      <c r="J32" s="292"/>
    </row>
    <row r="33" spans="1:12" ht="13.5" thickTop="1">
      <c r="J33" s="292">
        <f t="shared" si="2"/>
        <v>0</v>
      </c>
    </row>
    <row r="34" spans="1:12" hidden="1">
      <c r="A34" s="294" t="s">
        <v>97</v>
      </c>
      <c r="B34" s="294"/>
      <c r="C34" s="294"/>
      <c r="D34" s="294"/>
      <c r="E34" s="294"/>
      <c r="F34" s="294"/>
      <c r="G34" s="294"/>
      <c r="H34" s="294"/>
      <c r="I34" s="294"/>
      <c r="J34" s="292">
        <f t="shared" si="2"/>
        <v>0</v>
      </c>
    </row>
    <row r="35" spans="1:12" hidden="1">
      <c r="A35" s="270" t="s">
        <v>88</v>
      </c>
      <c r="B35" s="270">
        <f>B34-B27</f>
        <v>0</v>
      </c>
      <c r="C35" s="270">
        <f t="shared" ref="C35:I35" si="4">C34-C27</f>
        <v>0</v>
      </c>
      <c r="F35" s="270">
        <f>F34-F27</f>
        <v>-4926</v>
      </c>
      <c r="H35" s="270">
        <f t="shared" si="4"/>
        <v>0</v>
      </c>
      <c r="I35" s="270">
        <f t="shared" si="4"/>
        <v>0</v>
      </c>
      <c r="J35" s="292">
        <f t="shared" si="2"/>
        <v>-4926</v>
      </c>
    </row>
    <row r="36" spans="1:12" hidden="1">
      <c r="J36" s="292">
        <f t="shared" si="2"/>
        <v>0</v>
      </c>
    </row>
    <row r="37" spans="1:12" hidden="1">
      <c r="J37" s="292">
        <f t="shared" si="2"/>
        <v>0</v>
      </c>
    </row>
    <row r="38" spans="1:12" ht="15.75">
      <c r="A38" s="308" t="s">
        <v>180</v>
      </c>
      <c r="B38" s="309"/>
      <c r="C38" s="309"/>
      <c r="D38" s="309"/>
      <c r="E38" s="309"/>
      <c r="F38" s="309"/>
      <c r="G38" s="309"/>
      <c r="H38" s="309"/>
      <c r="I38" s="309"/>
      <c r="J38" s="292">
        <f t="shared" si="2"/>
        <v>0</v>
      </c>
    </row>
    <row r="39" spans="1:12" ht="13.5">
      <c r="A39" s="311" t="s">
        <v>181</v>
      </c>
      <c r="B39" s="292">
        <f t="shared" ref="B39:I39" si="5">B155</f>
        <v>0</v>
      </c>
      <c r="C39" s="292">
        <f t="shared" si="5"/>
        <v>0</v>
      </c>
      <c r="D39" s="292">
        <f t="shared" si="5"/>
        <v>0</v>
      </c>
      <c r="E39" s="292">
        <f t="shared" si="5"/>
        <v>5219</v>
      </c>
      <c r="F39" s="292">
        <f t="shared" si="5"/>
        <v>0</v>
      </c>
      <c r="G39" s="292">
        <f t="shared" si="5"/>
        <v>0</v>
      </c>
      <c r="H39" s="292">
        <f t="shared" si="5"/>
        <v>0</v>
      </c>
      <c r="I39" s="292">
        <f t="shared" si="5"/>
        <v>0</v>
      </c>
      <c r="J39" s="292"/>
      <c r="K39" s="295" t="s">
        <v>186</v>
      </c>
      <c r="L39" s="270">
        <f>E39</f>
        <v>5219</v>
      </c>
    </row>
    <row r="40" spans="1:12" ht="13.5" hidden="1">
      <c r="A40" s="295"/>
    </row>
    <row r="41" spans="1:12" hidden="1"/>
    <row r="42" spans="1:12" ht="14.25" hidden="1" thickTop="1" thickBot="1">
      <c r="B42" s="296"/>
      <c r="C42" s="297"/>
      <c r="D42" s="297"/>
      <c r="E42" s="298"/>
      <c r="F42" s="299"/>
      <c r="G42" s="299"/>
      <c r="H42" s="298"/>
      <c r="I42" s="297"/>
      <c r="J42" s="300"/>
    </row>
    <row r="43" spans="1:12" hidden="1"/>
    <row r="44" spans="1:12" hidden="1"/>
    <row r="45" spans="1:12" hidden="1"/>
    <row r="46" spans="1:12" hidden="1"/>
    <row r="47" spans="1:12" hidden="1"/>
    <row r="48" spans="1:12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spans="1:9" hidden="1"/>
    <row r="98" spans="1:9" hidden="1"/>
    <row r="99" spans="1:9" hidden="1"/>
    <row r="100" spans="1:9" hidden="1"/>
    <row r="101" spans="1:9" hidden="1"/>
    <row r="102" spans="1:9" hidden="1"/>
    <row r="103" spans="1:9" ht="13.5" hidden="1" thickBot="1">
      <c r="A103" s="291"/>
      <c r="B103" s="301"/>
      <c r="C103" s="301"/>
      <c r="D103" s="301"/>
      <c r="E103" s="301"/>
      <c r="F103" s="301"/>
      <c r="G103" s="301"/>
      <c r="H103" s="301"/>
      <c r="I103" s="301"/>
    </row>
    <row r="104" spans="1:9" hidden="1">
      <c r="A104" s="302"/>
      <c r="B104" s="302"/>
      <c r="C104" s="302"/>
      <c r="D104" s="302"/>
      <c r="E104" s="302"/>
      <c r="F104" s="302"/>
      <c r="G104" s="302"/>
      <c r="H104" s="302"/>
      <c r="I104" s="302"/>
    </row>
    <row r="105" spans="1:9" hidden="1"/>
    <row r="106" spans="1:9" hidden="1"/>
    <row r="107" spans="1:9" hidden="1">
      <c r="A107" s="294"/>
      <c r="B107" s="294"/>
      <c r="C107" s="294"/>
      <c r="D107" s="294"/>
      <c r="E107" s="294"/>
      <c r="F107" s="294"/>
      <c r="G107" s="294"/>
      <c r="H107" s="294"/>
      <c r="I107" s="294"/>
    </row>
    <row r="108" spans="1:9" hidden="1"/>
    <row r="109" spans="1:9" hidden="1"/>
    <row r="110" spans="1:9" hidden="1"/>
    <row r="111" spans="1:9" hidden="1"/>
    <row r="112" spans="1:9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spans="1:10" hidden="1"/>
    <row r="130" spans="1:10" hidden="1"/>
    <row r="131" spans="1:10" hidden="1"/>
    <row r="132" spans="1:10" hidden="1"/>
    <row r="133" spans="1:10" hidden="1"/>
    <row r="134" spans="1:10" hidden="1"/>
    <row r="135" spans="1:10" hidden="1">
      <c r="A135" s="303"/>
      <c r="B135" s="303"/>
      <c r="C135" s="303"/>
      <c r="D135" s="303"/>
      <c r="E135" s="303"/>
      <c r="F135" s="303"/>
      <c r="G135" s="303"/>
      <c r="H135" s="303"/>
      <c r="I135" s="303"/>
      <c r="J135" s="303"/>
    </row>
    <row r="136" spans="1:10" hidden="1"/>
    <row r="137" spans="1:10" hidden="1"/>
    <row r="138" spans="1:10" hidden="1"/>
    <row r="139" spans="1:10" hidden="1"/>
    <row r="140" spans="1:10" hidden="1"/>
    <row r="141" spans="1:10" hidden="1"/>
    <row r="142" spans="1:10" hidden="1">
      <c r="J142" s="270" t="s">
        <v>179</v>
      </c>
    </row>
    <row r="143" spans="1:10" hidden="1"/>
    <row r="144" spans="1:10" hidden="1"/>
    <row r="145" spans="1:10" hidden="1"/>
    <row r="146" spans="1:10" ht="13.5" thickBot="1">
      <c r="A146" s="312" t="s">
        <v>88</v>
      </c>
      <c r="B146" s="312">
        <f>B31-B39</f>
        <v>0</v>
      </c>
      <c r="C146" s="312">
        <f>C31-C39</f>
        <v>0</v>
      </c>
      <c r="D146" s="312">
        <f t="shared" ref="D146:H146" si="6">D31-D39</f>
        <v>44</v>
      </c>
      <c r="E146" s="312">
        <f t="shared" si="6"/>
        <v>-5219</v>
      </c>
      <c r="F146" s="312">
        <f t="shared" si="6"/>
        <v>5134</v>
      </c>
      <c r="G146" s="312">
        <f t="shared" si="6"/>
        <v>0</v>
      </c>
      <c r="H146" s="312">
        <f t="shared" si="6"/>
        <v>0</v>
      </c>
      <c r="I146" s="312">
        <f t="shared" ref="I146" si="7">I141-I145</f>
        <v>0</v>
      </c>
      <c r="J146" s="292"/>
    </row>
    <row r="147" spans="1:10" ht="13.5" thickTop="1">
      <c r="B147" s="310"/>
      <c r="C147" s="310"/>
      <c r="D147" s="310"/>
      <c r="E147" s="310">
        <f>56*30</f>
        <v>1680</v>
      </c>
      <c r="F147" s="310"/>
      <c r="G147" s="310"/>
      <c r="H147" s="310"/>
      <c r="I147" s="310"/>
    </row>
    <row r="148" spans="1:10">
      <c r="A148" s="314"/>
      <c r="B148" s="310"/>
      <c r="C148" s="310"/>
      <c r="D148" s="310"/>
      <c r="E148" s="310">
        <f>78+15</f>
        <v>93</v>
      </c>
      <c r="F148" s="310"/>
      <c r="G148" s="310"/>
      <c r="H148" s="310"/>
      <c r="I148" s="310"/>
    </row>
    <row r="149" spans="1:10">
      <c r="A149" s="314"/>
      <c r="B149" s="310"/>
      <c r="C149" s="310"/>
      <c r="D149" s="310"/>
      <c r="E149" s="310">
        <f>57*30</f>
        <v>1710</v>
      </c>
      <c r="F149" s="310"/>
      <c r="G149" s="310"/>
      <c r="H149" s="310"/>
      <c r="I149" s="310"/>
    </row>
    <row r="150" spans="1:10">
      <c r="A150" s="314"/>
      <c r="B150" s="310"/>
      <c r="C150" s="310"/>
      <c r="D150" s="310"/>
      <c r="E150" s="310">
        <v>26</v>
      </c>
      <c r="F150" s="310"/>
      <c r="G150" s="310"/>
      <c r="H150" s="310"/>
      <c r="I150" s="310"/>
    </row>
    <row r="151" spans="1:10">
      <c r="A151" s="314"/>
      <c r="B151" s="310"/>
      <c r="C151" s="310"/>
      <c r="D151" s="310"/>
      <c r="E151" s="310">
        <f>57*30</f>
        <v>1710</v>
      </c>
      <c r="F151" s="310"/>
      <c r="G151" s="310"/>
      <c r="H151" s="310"/>
      <c r="I151" s="310"/>
    </row>
    <row r="152" spans="1:10" hidden="1">
      <c r="B152" s="310"/>
      <c r="C152" s="310"/>
      <c r="D152" s="310"/>
      <c r="E152" s="310"/>
      <c r="F152" s="310"/>
      <c r="G152" s="310"/>
      <c r="H152" s="310"/>
      <c r="I152" s="310"/>
    </row>
    <row r="153" spans="1:10" hidden="1">
      <c r="B153" s="310"/>
      <c r="C153" s="310"/>
      <c r="D153" s="310"/>
      <c r="E153" s="310"/>
      <c r="F153" s="310"/>
      <c r="G153" s="310"/>
      <c r="H153" s="310"/>
      <c r="I153" s="310"/>
    </row>
    <row r="154" spans="1:10" hidden="1">
      <c r="B154" s="310"/>
      <c r="C154" s="310"/>
      <c r="D154" s="310"/>
      <c r="E154" s="310"/>
      <c r="F154" s="310"/>
      <c r="G154" s="310"/>
      <c r="H154" s="310"/>
      <c r="I154" s="310"/>
    </row>
    <row r="155" spans="1:10" ht="13.5" thickBot="1">
      <c r="B155" s="293">
        <f t="shared" ref="B155:D155" si="8">SUM(B147:B154)</f>
        <v>0</v>
      </c>
      <c r="C155" s="293">
        <f t="shared" si="8"/>
        <v>0</v>
      </c>
      <c r="D155" s="293">
        <f t="shared" si="8"/>
        <v>0</v>
      </c>
      <c r="E155" s="293">
        <f t="shared" ref="E155:I155" si="9">SUM(E147:E154)</f>
        <v>5219</v>
      </c>
      <c r="F155" s="293">
        <f t="shared" si="9"/>
        <v>0</v>
      </c>
      <c r="G155" s="293">
        <f t="shared" si="9"/>
        <v>0</v>
      </c>
      <c r="H155" s="293">
        <f t="shared" si="9"/>
        <v>0</v>
      </c>
      <c r="I155" s="293">
        <f t="shared" si="9"/>
        <v>0</v>
      </c>
    </row>
    <row r="156" spans="1:10" ht="13.5" thickTop="1"/>
  </sheetData>
  <mergeCells count="3">
    <mergeCell ref="A3:J3"/>
    <mergeCell ref="A4:J4"/>
    <mergeCell ref="D8:J8"/>
  </mergeCells>
  <phoneticPr fontId="4" type="noConversion"/>
  <pageMargins left="0.75" right="0.75" top="1" bottom="1" header="0.5" footer="0.5"/>
  <pageSetup scale="82" orientation="portrait" blackAndWhite="1" horizont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86"/>
  <sheetViews>
    <sheetView topLeftCell="A23" workbookViewId="0">
      <selection activeCell="A36" sqref="A12:K36"/>
    </sheetView>
  </sheetViews>
  <sheetFormatPr defaultRowHeight="12.75"/>
  <cols>
    <col min="1" max="1" width="13.85546875" customWidth="1"/>
    <col min="2" max="2" width="10.5703125" customWidth="1"/>
    <col min="3" max="3" width="11.140625" bestFit="1" customWidth="1"/>
    <col min="4" max="4" width="17.42578125" customWidth="1"/>
    <col min="7" max="8" width="0" hidden="1" customWidth="1"/>
    <col min="9" max="9" width="10.42578125" hidden="1" customWidth="1"/>
    <col min="10" max="10" width="10.140625" hidden="1" customWidth="1"/>
  </cols>
  <sheetData>
    <row r="1" spans="1:11" ht="13.5" thickTop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3"/>
    </row>
    <row r="3" spans="1:11" ht="22.5">
      <c r="A3" s="522" t="s">
        <v>0</v>
      </c>
      <c r="B3" s="523"/>
      <c r="C3" s="523"/>
      <c r="D3" s="523"/>
      <c r="E3" s="523"/>
      <c r="F3" s="523"/>
      <c r="G3" s="523"/>
      <c r="H3" s="523"/>
      <c r="I3" s="523"/>
      <c r="J3" s="523"/>
      <c r="K3" s="524"/>
    </row>
    <row r="4" spans="1:11" ht="20.25">
      <c r="A4" s="525" t="s">
        <v>126</v>
      </c>
      <c r="B4" s="526"/>
      <c r="C4" s="526"/>
      <c r="D4" s="526"/>
      <c r="E4" s="526"/>
      <c r="F4" s="526"/>
      <c r="G4" s="526"/>
      <c r="H4" s="526"/>
      <c r="I4" s="526"/>
      <c r="J4" s="526"/>
      <c r="K4" s="527"/>
    </row>
    <row r="5" spans="1:11">
      <c r="A5" s="181"/>
      <c r="B5" s="182"/>
      <c r="C5" s="182"/>
      <c r="D5" s="182"/>
      <c r="E5" s="182"/>
      <c r="F5" s="182"/>
      <c r="G5" s="182"/>
      <c r="H5" s="182"/>
      <c r="I5" s="182"/>
      <c r="J5" s="182"/>
      <c r="K5" s="183"/>
    </row>
    <row r="6" spans="1:11" ht="14.25">
      <c r="A6" s="184"/>
      <c r="B6" s="96"/>
      <c r="C6" s="96"/>
      <c r="D6" s="96"/>
      <c r="E6" s="96"/>
      <c r="F6" s="96"/>
      <c r="G6" s="96"/>
      <c r="H6" s="96"/>
      <c r="I6" s="96"/>
      <c r="J6" s="96"/>
      <c r="K6" s="185"/>
    </row>
    <row r="7" spans="1:11" ht="16.5" thickBot="1">
      <c r="A7" s="186" t="s">
        <v>22</v>
      </c>
      <c r="B7" s="202" t="s">
        <v>24</v>
      </c>
      <c r="C7" s="203"/>
      <c r="D7" s="203"/>
      <c r="E7" s="204"/>
      <c r="F7" s="205"/>
      <c r="G7" s="187" t="s">
        <v>21</v>
      </c>
      <c r="H7" s="187"/>
      <c r="I7" s="199" t="s">
        <v>11</v>
      </c>
      <c r="J7" s="200"/>
      <c r="K7" s="188"/>
    </row>
    <row r="8" spans="1:11" ht="16.5" thickBot="1">
      <c r="A8" s="189" t="s">
        <v>23</v>
      </c>
      <c r="B8" s="206">
        <v>3341</v>
      </c>
      <c r="C8" s="201"/>
      <c r="D8" s="528">
        <v>39609</v>
      </c>
      <c r="E8" s="528"/>
      <c r="F8" s="528"/>
      <c r="G8" s="190" t="s">
        <v>2</v>
      </c>
      <c r="H8" s="190"/>
      <c r="I8" s="529">
        <v>39463</v>
      </c>
      <c r="J8" s="529"/>
      <c r="K8" s="188"/>
    </row>
    <row r="9" spans="1:11" ht="15" thickBot="1">
      <c r="A9" s="191"/>
      <c r="B9" s="192"/>
      <c r="C9" s="192"/>
      <c r="D9" s="192"/>
      <c r="E9" s="192"/>
      <c r="F9" s="192"/>
      <c r="G9" s="192"/>
      <c r="H9" s="192"/>
      <c r="I9" s="192"/>
      <c r="J9" s="192"/>
      <c r="K9" s="193"/>
    </row>
    <row r="10" spans="1:11" s="1" customFormat="1" ht="14.25" thickTop="1" thickBot="1"/>
    <row r="11" spans="1:11" s="1" customFormat="1" ht="21.75" customHeight="1" thickTop="1" thickBot="1">
      <c r="A11" s="197" t="s">
        <v>127</v>
      </c>
      <c r="B11" s="264" t="s">
        <v>86</v>
      </c>
      <c r="C11" s="266" t="s">
        <v>19</v>
      </c>
      <c r="D11" s="244" t="s">
        <v>36</v>
      </c>
      <c r="E11" s="244" t="s">
        <v>94</v>
      </c>
      <c r="F11" s="209" t="s">
        <v>85</v>
      </c>
      <c r="G11" s="207"/>
      <c r="H11" s="207"/>
      <c r="I11" s="210"/>
      <c r="J11" s="209"/>
      <c r="K11" s="197" t="s">
        <v>96</v>
      </c>
    </row>
    <row r="12" spans="1:11" s="1" customFormat="1" ht="13.5" thickTop="1">
      <c r="F12" s="208"/>
    </row>
    <row r="13" spans="1:11" s="1" customFormat="1"/>
    <row r="14" spans="1:11" s="1" customFormat="1"/>
    <row r="15" spans="1:11" s="1" customFormat="1"/>
    <row r="16" spans="1:11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 hidden="1"/>
    <row r="39" s="1" customFormat="1" hidden="1"/>
    <row r="40" s="1" customFormat="1" hidden="1"/>
    <row r="41" s="1" customFormat="1" hidden="1"/>
    <row r="42" s="1" customFormat="1" hidden="1"/>
    <row r="43" s="1" customFormat="1" hidden="1"/>
    <row r="44" s="1" customFormat="1" hidden="1"/>
    <row r="45" s="1" customFormat="1" hidden="1"/>
    <row r="46" s="1" customFormat="1" hidden="1"/>
    <row r="47" s="1" customFormat="1" hidden="1"/>
    <row r="48" s="1" customFormat="1" hidden="1"/>
    <row r="49" s="1" customFormat="1" hidden="1"/>
    <row r="50" s="1" customFormat="1" hidden="1"/>
    <row r="51" s="1" customFormat="1" hidden="1"/>
    <row r="52" s="1" customFormat="1" hidden="1"/>
    <row r="53" s="1" customFormat="1" hidden="1"/>
    <row r="54" s="1" customFormat="1" hidden="1"/>
    <row r="55" s="1" customFormat="1" hidden="1"/>
    <row r="56" s="1" customFormat="1" hidden="1"/>
    <row r="57" s="1" customFormat="1" hidden="1"/>
    <row r="58" s="1" customFormat="1" hidden="1"/>
    <row r="59" s="1" customFormat="1" hidden="1"/>
    <row r="60" s="1" customFormat="1" hidden="1"/>
    <row r="61" s="1" customFormat="1" hidden="1"/>
    <row r="62" s="1" customFormat="1" hidden="1"/>
    <row r="63" s="1" customFormat="1" hidden="1"/>
    <row r="64" s="1" customFormat="1" hidden="1"/>
    <row r="65" s="1" customFormat="1" hidden="1"/>
    <row r="66" s="1" customFormat="1" hidden="1"/>
    <row r="67" s="1" customFormat="1" hidden="1"/>
    <row r="68" s="1" customFormat="1" hidden="1"/>
    <row r="69" s="1" customFormat="1" hidden="1"/>
    <row r="70" s="1" customFormat="1" hidden="1"/>
    <row r="71" s="1" customFormat="1" hidden="1"/>
    <row r="72" s="1" customFormat="1" hidden="1"/>
    <row r="73" s="1" customFormat="1" hidden="1"/>
    <row r="74" s="1" customFormat="1" hidden="1"/>
    <row r="75" s="1" customFormat="1" hidden="1"/>
    <row r="76" s="1" customFormat="1" hidden="1"/>
    <row r="77" s="1" customFormat="1" hidden="1"/>
    <row r="78" s="1" customFormat="1" hidden="1"/>
    <row r="79" s="1" customFormat="1" hidden="1"/>
    <row r="80" s="1" customFormat="1" hidden="1"/>
    <row r="81" spans="1:11" s="1" customFormat="1" hidden="1"/>
    <row r="82" spans="1:11" s="1" customFormat="1" hidden="1"/>
    <row r="83" spans="1:11" s="1" customFormat="1" hidden="1"/>
    <row r="84" spans="1:11" s="1" customFormat="1" hidden="1"/>
    <row r="85" spans="1:11" s="1" customFormat="1" hidden="1"/>
    <row r="86" spans="1:11" s="1" customFormat="1" ht="24.75" customHeight="1">
      <c r="A86" s="198" t="s">
        <v>128</v>
      </c>
      <c r="B86" s="198">
        <f t="shared" ref="B86:I86" si="0">SUM(B12:B78)</f>
        <v>0</v>
      </c>
      <c r="C86" s="198">
        <f>SUM(C12:C85)</f>
        <v>0</v>
      </c>
      <c r="D86" s="198">
        <f>SUM(D12:D85)</f>
        <v>0</v>
      </c>
      <c r="E86" s="198">
        <f>SUM(E12:E85)</f>
        <v>0</v>
      </c>
      <c r="F86" s="198">
        <f>SUM(F12:F85)</f>
        <v>0</v>
      </c>
      <c r="G86" s="198">
        <f t="shared" si="0"/>
        <v>0</v>
      </c>
      <c r="H86" s="198">
        <f t="shared" si="0"/>
        <v>0</v>
      </c>
      <c r="I86" s="198">
        <f t="shared" si="0"/>
        <v>0</v>
      </c>
      <c r="J86" s="198">
        <f>SUM(J12:J85)</f>
        <v>0</v>
      </c>
      <c r="K86" s="198">
        <f>SUM(B86:J86)</f>
        <v>0</v>
      </c>
    </row>
    <row r="87" spans="1:11" s="1" customFormat="1">
      <c r="A87" s="194" t="s">
        <v>87</v>
      </c>
      <c r="B87" s="194">
        <f>120+120+129+150+116+91+60+115</f>
        <v>901</v>
      </c>
      <c r="C87" s="194">
        <f>150+140+150+120+150+150+150+91+140+26+150+60+112+94</f>
        <v>1683</v>
      </c>
      <c r="D87" s="194">
        <f>150+150+120+120+120+150+112+120+120+150+106</f>
        <v>1418</v>
      </c>
      <c r="E87" s="194">
        <f>150+35+150+120+120+26+51</f>
        <v>652</v>
      </c>
      <c r="F87" s="194">
        <f>65+14+21+34</f>
        <v>134</v>
      </c>
      <c r="G87" s="194"/>
      <c r="H87" s="194"/>
      <c r="I87" s="194"/>
      <c r="J87" s="194"/>
      <c r="K87" s="198">
        <f t="shared" ref="K87:K97" si="1">SUM(B87:J87)</f>
        <v>4788</v>
      </c>
    </row>
    <row r="88" spans="1:11" s="1" customFormat="1" ht="13.5" thickBot="1">
      <c r="A88" s="195" t="s">
        <v>88</v>
      </c>
      <c r="B88" s="195">
        <f t="shared" ref="B88:J88" si="2">B87-B86</f>
        <v>901</v>
      </c>
      <c r="C88" s="195">
        <f>C87-C86</f>
        <v>1683</v>
      </c>
      <c r="D88" s="195">
        <f>D87-D86</f>
        <v>1418</v>
      </c>
      <c r="E88" s="195">
        <f>E87-E86</f>
        <v>652</v>
      </c>
      <c r="F88" s="195">
        <f>F87-F86</f>
        <v>134</v>
      </c>
      <c r="G88" s="195">
        <f>G86-G87</f>
        <v>0</v>
      </c>
      <c r="H88" s="195">
        <f t="shared" si="2"/>
        <v>0</v>
      </c>
      <c r="I88" s="195">
        <f t="shared" si="2"/>
        <v>0</v>
      </c>
      <c r="J88" s="195">
        <f t="shared" si="2"/>
        <v>0</v>
      </c>
      <c r="K88" s="198">
        <f t="shared" si="1"/>
        <v>4788</v>
      </c>
    </row>
    <row r="89" spans="1:11" s="1" customFormat="1" ht="13.5" thickTop="1">
      <c r="K89" s="198">
        <f t="shared" si="1"/>
        <v>0</v>
      </c>
    </row>
    <row r="90" spans="1:11" s="1" customFormat="1">
      <c r="A90" s="196" t="s">
        <v>89</v>
      </c>
      <c r="B90" s="196">
        <v>884</v>
      </c>
      <c r="C90" s="196">
        <v>1676</v>
      </c>
      <c r="D90" s="196">
        <v>1417</v>
      </c>
      <c r="E90" s="196">
        <v>642</v>
      </c>
      <c r="F90" s="196">
        <v>135</v>
      </c>
      <c r="G90" s="196"/>
      <c r="H90" s="196"/>
      <c r="I90" s="196"/>
      <c r="J90" s="196"/>
      <c r="K90" s="198">
        <f t="shared" si="1"/>
        <v>4754</v>
      </c>
    </row>
    <row r="91" spans="1:11" s="1" customFormat="1" ht="13.5" thickBot="1">
      <c r="A91" s="195" t="s">
        <v>88</v>
      </c>
      <c r="B91" s="195">
        <f t="shared" ref="B91:J91" si="3">B86-B90</f>
        <v>-884</v>
      </c>
      <c r="C91" s="195">
        <f t="shared" si="3"/>
        <v>-1676</v>
      </c>
      <c r="D91" s="195">
        <f t="shared" si="3"/>
        <v>-1417</v>
      </c>
      <c r="E91" s="195">
        <f t="shared" si="3"/>
        <v>-642</v>
      </c>
      <c r="F91" s="195">
        <f>F86-F90</f>
        <v>-135</v>
      </c>
      <c r="G91" s="195">
        <f>G86-G90</f>
        <v>0</v>
      </c>
      <c r="H91" s="195">
        <f t="shared" si="3"/>
        <v>0</v>
      </c>
      <c r="I91" s="195">
        <f t="shared" si="3"/>
        <v>0</v>
      </c>
      <c r="J91" s="195">
        <f t="shared" si="3"/>
        <v>0</v>
      </c>
      <c r="K91" s="198">
        <f t="shared" si="1"/>
        <v>-4754</v>
      </c>
    </row>
    <row r="92" spans="1:11" s="1" customFormat="1" ht="13.5" thickTop="1">
      <c r="K92" s="198">
        <f t="shared" si="1"/>
        <v>0</v>
      </c>
    </row>
    <row r="93" spans="1:11" s="1" customFormat="1" hidden="1">
      <c r="A93" s="116" t="s">
        <v>97</v>
      </c>
      <c r="B93" s="116"/>
      <c r="C93" s="116"/>
      <c r="D93" s="116"/>
      <c r="E93" s="116"/>
      <c r="F93" s="116"/>
      <c r="G93" s="116"/>
      <c r="H93" s="116"/>
      <c r="I93" s="116"/>
      <c r="J93" s="116"/>
      <c r="K93" s="198">
        <f t="shared" si="1"/>
        <v>0</v>
      </c>
    </row>
    <row r="94" spans="1:11" s="1" customFormat="1" hidden="1">
      <c r="A94" s="1" t="s">
        <v>88</v>
      </c>
      <c r="B94" s="1">
        <f>B93-B86</f>
        <v>0</v>
      </c>
      <c r="C94" s="1">
        <f t="shared" ref="C94:J94" si="4">C93-C86</f>
        <v>0</v>
      </c>
      <c r="F94" s="1">
        <f t="shared" si="4"/>
        <v>0</v>
      </c>
      <c r="G94" s="1">
        <f t="shared" si="4"/>
        <v>0</v>
      </c>
      <c r="H94" s="1">
        <f t="shared" si="4"/>
        <v>0</v>
      </c>
      <c r="I94" s="1">
        <f t="shared" si="4"/>
        <v>0</v>
      </c>
      <c r="J94" s="1">
        <f t="shared" si="4"/>
        <v>0</v>
      </c>
      <c r="K94" s="198">
        <f t="shared" si="1"/>
        <v>0</v>
      </c>
    </row>
    <row r="95" spans="1:11" s="1" customFormat="1" hidden="1">
      <c r="K95" s="198">
        <f t="shared" si="1"/>
        <v>0</v>
      </c>
    </row>
    <row r="96" spans="1:11" s="1" customFormat="1" hidden="1">
      <c r="K96" s="198">
        <f t="shared" si="1"/>
        <v>0</v>
      </c>
    </row>
    <row r="97" spans="1:11" s="1" customFormat="1">
      <c r="A97" s="196" t="s">
        <v>97</v>
      </c>
      <c r="B97" s="196"/>
      <c r="C97" s="196"/>
      <c r="D97" s="196"/>
      <c r="E97" s="196"/>
      <c r="F97" s="196">
        <v>0</v>
      </c>
      <c r="G97" s="196"/>
      <c r="H97" s="196"/>
      <c r="I97" s="196"/>
      <c r="J97" s="196"/>
      <c r="K97" s="198">
        <f t="shared" si="1"/>
        <v>0</v>
      </c>
    </row>
    <row r="98" spans="1:11" s="1" customFormat="1">
      <c r="G98" s="1">
        <f>G87-G90</f>
        <v>0</v>
      </c>
      <c r="H98" s="1">
        <f>H87-H90</f>
        <v>0</v>
      </c>
      <c r="I98" s="1">
        <f>I87-I90</f>
        <v>0</v>
      </c>
      <c r="J98" s="1">
        <f>J87-J90</f>
        <v>0</v>
      </c>
    </row>
    <row r="99" spans="1:11" s="1" customFormat="1"/>
    <row r="100" spans="1:11" s="1" customFormat="1" ht="14.25" hidden="1" thickTop="1" thickBot="1">
      <c r="B100" s="176"/>
      <c r="C100" s="171" t="s">
        <v>94</v>
      </c>
      <c r="D100" s="171"/>
      <c r="E100" s="172"/>
      <c r="F100" s="177">
        <v>3.125</v>
      </c>
      <c r="G100" s="172" t="s">
        <v>124</v>
      </c>
      <c r="H100" s="171"/>
      <c r="I100" s="171"/>
      <c r="J100" s="171"/>
      <c r="K100" s="173" t="s">
        <v>96</v>
      </c>
    </row>
    <row r="101" spans="1:11" s="1" customFormat="1" hidden="1"/>
    <row r="102" spans="1:11" s="1" customFormat="1" hidden="1"/>
    <row r="103" spans="1:11" s="1" customFormat="1" hidden="1"/>
    <row r="104" spans="1:11" s="1" customFormat="1" hidden="1"/>
    <row r="105" spans="1:11" s="1" customFormat="1" hidden="1"/>
    <row r="106" spans="1:11" s="1" customFormat="1" hidden="1"/>
    <row r="107" spans="1:11" s="1" customFormat="1" hidden="1"/>
    <row r="108" spans="1:11" s="1" customFormat="1" hidden="1"/>
    <row r="109" spans="1:11" s="1" customFormat="1" hidden="1"/>
    <row r="110" spans="1:11" s="1" customFormat="1" hidden="1"/>
    <row r="111" spans="1:11" s="1" customFormat="1" hidden="1"/>
    <row r="112" spans="1:11" s="1" customFormat="1" hidden="1"/>
    <row r="113" s="1" customFormat="1" hidden="1"/>
    <row r="114" s="1" customFormat="1" hidden="1"/>
    <row r="115" s="1" customFormat="1" hidden="1"/>
    <row r="116" s="1" customFormat="1" hidden="1"/>
    <row r="117" s="1" customFormat="1" hidden="1"/>
    <row r="118" s="1" customFormat="1" hidden="1"/>
    <row r="119" s="1" customFormat="1" hidden="1"/>
    <row r="120" s="1" customFormat="1" hidden="1"/>
    <row r="121" s="1" customFormat="1" hidden="1"/>
    <row r="122" s="1" customFormat="1" hidden="1"/>
    <row r="123" s="1" customFormat="1" hidden="1"/>
    <row r="124" s="1" customFormat="1" hidden="1"/>
    <row r="125" s="1" customFormat="1" hidden="1"/>
    <row r="126" s="1" customFormat="1" hidden="1"/>
    <row r="127" s="1" customFormat="1" hidden="1"/>
    <row r="128" s="1" customFormat="1" hidden="1"/>
    <row r="129" s="1" customFormat="1" hidden="1"/>
    <row r="130" s="1" customFormat="1" hidden="1"/>
    <row r="131" s="1" customFormat="1" hidden="1"/>
    <row r="132" s="1" customFormat="1" hidden="1"/>
    <row r="133" s="1" customFormat="1" hidden="1"/>
    <row r="134" s="1" customFormat="1" hidden="1"/>
    <row r="135" s="1" customFormat="1" hidden="1"/>
    <row r="136" s="1" customFormat="1" hidden="1"/>
    <row r="137" s="1" customFormat="1" hidden="1"/>
    <row r="138" s="1" customFormat="1" hidden="1"/>
    <row r="139" s="1" customFormat="1" hidden="1"/>
    <row r="140" s="1" customFormat="1" hidden="1"/>
    <row r="141" s="1" customFormat="1" hidden="1"/>
    <row r="142" s="1" customFormat="1" hidden="1"/>
    <row r="143" s="1" customFormat="1" hidden="1"/>
    <row r="144" s="1" customFormat="1" hidden="1"/>
    <row r="145" s="1" customFormat="1" hidden="1"/>
    <row r="146" s="1" customFormat="1" hidden="1"/>
    <row r="147" s="1" customFormat="1" hidden="1"/>
    <row r="148" s="1" customFormat="1" hidden="1"/>
    <row r="149" s="1" customFormat="1" hidden="1"/>
    <row r="150" s="1" customFormat="1" hidden="1"/>
    <row r="151" s="1" customFormat="1" hidden="1"/>
    <row r="152" s="1" customFormat="1" hidden="1"/>
    <row r="153" s="1" customFormat="1" hidden="1"/>
    <row r="154" s="1" customFormat="1" hidden="1"/>
    <row r="155" s="1" customFormat="1" hidden="1"/>
    <row r="156" s="1" customFormat="1" hidden="1"/>
    <row r="157" s="1" customFormat="1" hidden="1"/>
    <row r="158" s="1" customFormat="1" hidden="1"/>
    <row r="159" s="1" customFormat="1" hidden="1"/>
    <row r="160" s="1" customFormat="1" hidden="1"/>
    <row r="161" spans="1:11" s="1" customFormat="1" ht="13.5" hidden="1" thickBot="1">
      <c r="A161" s="174" t="s">
        <v>90</v>
      </c>
      <c r="B161" s="175"/>
      <c r="C161" s="175">
        <f t="shared" ref="C161:J161" si="5">SUM(C101:C160)</f>
        <v>0</v>
      </c>
      <c r="D161" s="175"/>
      <c r="E161" s="175"/>
      <c r="F161" s="175">
        <f t="shared" si="5"/>
        <v>0</v>
      </c>
      <c r="G161" s="175">
        <f t="shared" si="5"/>
        <v>0</v>
      </c>
      <c r="H161" s="175">
        <f t="shared" si="5"/>
        <v>0</v>
      </c>
      <c r="I161" s="175">
        <f t="shared" si="5"/>
        <v>0</v>
      </c>
      <c r="J161" s="175">
        <f t="shared" si="5"/>
        <v>0</v>
      </c>
      <c r="K161" s="1">
        <f>SUM(B161:J161)</f>
        <v>0</v>
      </c>
    </row>
    <row r="162" spans="1:11" s="1" customFormat="1" hidden="1">
      <c r="A162" s="145" t="s">
        <v>87</v>
      </c>
      <c r="B162" s="145"/>
      <c r="C162" s="145">
        <v>431</v>
      </c>
      <c r="D162" s="145"/>
      <c r="E162" s="145"/>
      <c r="F162" s="145">
        <v>121</v>
      </c>
      <c r="G162" s="145">
        <v>409.26</v>
      </c>
      <c r="H162" s="145"/>
      <c r="I162" s="145"/>
      <c r="J162" s="145"/>
      <c r="K162" s="1">
        <f>SUM(B162:J162)</f>
        <v>961.26</v>
      </c>
    </row>
    <row r="163" spans="1:11" s="1" customFormat="1" hidden="1">
      <c r="A163" s="1" t="s">
        <v>88</v>
      </c>
      <c r="C163" s="1">
        <f>C162-C161</f>
        <v>431</v>
      </c>
      <c r="F163" s="1">
        <f>F161-F162</f>
        <v>-121</v>
      </c>
      <c r="G163" s="1">
        <f>G161-G162</f>
        <v>-409.26</v>
      </c>
      <c r="H163" s="1">
        <f>H162-H161</f>
        <v>0</v>
      </c>
      <c r="I163" s="1">
        <f>I162-I161</f>
        <v>0</v>
      </c>
      <c r="J163" s="1">
        <f>J162-J161</f>
        <v>0</v>
      </c>
      <c r="K163" s="1">
        <f>SUM(B163:J163)</f>
        <v>-99.259999999999991</v>
      </c>
    </row>
    <row r="164" spans="1:11" s="1" customFormat="1" hidden="1"/>
    <row r="165" spans="1:11" s="1" customFormat="1" hidden="1">
      <c r="A165" s="116" t="s">
        <v>89</v>
      </c>
      <c r="B165" s="116"/>
      <c r="C165" s="116"/>
      <c r="D165" s="116"/>
      <c r="E165" s="116"/>
      <c r="F165" s="116"/>
      <c r="G165" s="116"/>
      <c r="H165" s="116"/>
      <c r="I165" s="116"/>
      <c r="J165" s="116"/>
      <c r="K165" s="1">
        <f>SUM(B165:J165)</f>
        <v>0</v>
      </c>
    </row>
    <row r="166" spans="1:11" s="1" customFormat="1" hidden="1">
      <c r="A166" s="1" t="s">
        <v>88</v>
      </c>
      <c r="C166" s="1">
        <f t="shared" ref="C166:J166" si="6">C161-C165</f>
        <v>0</v>
      </c>
      <c r="F166" s="1">
        <f t="shared" si="6"/>
        <v>0</v>
      </c>
      <c r="G166" s="1">
        <f t="shared" si="6"/>
        <v>0</v>
      </c>
      <c r="H166" s="1">
        <f t="shared" si="6"/>
        <v>0</v>
      </c>
      <c r="I166" s="1">
        <f t="shared" si="6"/>
        <v>0</v>
      </c>
      <c r="J166" s="1">
        <f t="shared" si="6"/>
        <v>0</v>
      </c>
    </row>
    <row r="167" spans="1:11" s="1" customFormat="1" hidden="1"/>
    <row r="168" spans="1:11" s="1" customFormat="1" hidden="1"/>
    <row r="169" spans="1:11" s="1" customFormat="1" hidden="1"/>
    <row r="170" spans="1:11" s="1" customFormat="1" hidden="1"/>
    <row r="171" spans="1:11" s="1" customFormat="1" hidden="1"/>
    <row r="172" spans="1:11" s="1" customFormat="1" hidden="1"/>
    <row r="173" spans="1:11" s="1" customFormat="1" hidden="1"/>
    <row r="174" spans="1:11" s="1" customFormat="1" hidden="1"/>
    <row r="175" spans="1:11" s="1" customFormat="1" hidden="1"/>
    <row r="176" spans="1:11" s="1" customFormat="1" hidden="1"/>
    <row r="177" s="1" customFormat="1" hidden="1"/>
    <row r="178" s="1" customFormat="1" hidden="1"/>
    <row r="179" s="1" customFormat="1" hidden="1"/>
    <row r="180" s="1" customFormat="1" hidden="1"/>
    <row r="181" s="1" customFormat="1" hidden="1"/>
    <row r="182" s="1" customFormat="1" hidden="1"/>
    <row r="183" s="1" customFormat="1" hidden="1"/>
    <row r="184" s="1" customFormat="1" hidden="1"/>
    <row r="185" s="1" customFormat="1" hidden="1"/>
    <row r="186" s="1" customFormat="1" hidden="1"/>
    <row r="187" s="1" customFormat="1" hidden="1"/>
    <row r="188" s="1" customFormat="1" hidden="1"/>
    <row r="189" s="1" customFormat="1" hidden="1"/>
    <row r="190" s="1" customFormat="1" hidden="1"/>
    <row r="191" s="1" customFormat="1" hidden="1"/>
    <row r="192" s="1" customFormat="1" hidden="1"/>
    <row r="193" s="1" customFormat="1" hidden="1"/>
    <row r="194" s="1" customFormat="1" hidden="1"/>
    <row r="195" s="1" customFormat="1" hidden="1"/>
    <row r="196" s="1" customFormat="1" hidden="1"/>
    <row r="197" s="1" customFormat="1" hidden="1"/>
    <row r="198" s="1" customFormat="1" hidden="1"/>
    <row r="199" s="1" customFormat="1" hidden="1"/>
    <row r="200" s="1" customFormat="1" hidden="1"/>
    <row r="201" s="1" customFormat="1" hidden="1"/>
    <row r="202" s="1" customFormat="1" hidden="1"/>
    <row r="203" s="1" customFormat="1" hidden="1"/>
    <row r="204" s="1" customFormat="1" hidden="1"/>
    <row r="205" s="1" customFormat="1" hidden="1"/>
    <row r="206" s="1" customFormat="1" hidden="1"/>
    <row r="207" s="1" customFormat="1" hidden="1"/>
    <row r="208" s="1" customFormat="1" hidden="1"/>
    <row r="209" s="1" customFormat="1" hidden="1"/>
    <row r="210" s="1" customFormat="1" hidden="1"/>
    <row r="211" s="1" customFormat="1" hidden="1"/>
    <row r="212" s="1" customFormat="1" hidden="1"/>
    <row r="213" s="1" customFormat="1" hidden="1"/>
    <row r="214" s="1" customFormat="1" hidden="1"/>
    <row r="215" s="1" customFormat="1" hidden="1"/>
    <row r="216" s="1" customFormat="1" hidden="1"/>
    <row r="217" s="1" customFormat="1" hidden="1"/>
    <row r="218" s="1" customFormat="1" hidden="1"/>
    <row r="219" s="1" customFormat="1" hidden="1"/>
    <row r="220" s="1" customFormat="1" hidden="1"/>
    <row r="221" s="1" customFormat="1" hidden="1"/>
    <row r="222" s="1" customFormat="1" hidden="1"/>
    <row r="223" s="1" customFormat="1" hidden="1"/>
    <row r="224" s="1" customFormat="1" hidden="1"/>
    <row r="225" s="1" customFormat="1" hidden="1"/>
    <row r="226" s="1" customFormat="1" hidden="1"/>
    <row r="227" s="1" customFormat="1" hidden="1"/>
    <row r="228" s="1" customFormat="1" hidden="1"/>
    <row r="229" s="1" customFormat="1" hidden="1"/>
    <row r="230" s="1" customFormat="1" hidden="1"/>
    <row r="231" s="1" customFormat="1" hidden="1"/>
    <row r="232" s="1" customFormat="1" hidden="1"/>
    <row r="233" s="1" customFormat="1" hidden="1"/>
    <row r="234" s="1" customFormat="1" hidden="1"/>
    <row r="235" s="1" customFormat="1" hidden="1"/>
    <row r="236" s="1" customFormat="1" hidden="1"/>
    <row r="237" s="1" customFormat="1" hidden="1"/>
    <row r="238" s="1" customFormat="1" hidden="1"/>
    <row r="239" s="1" customFormat="1" hidden="1"/>
    <row r="240" s="1" customFormat="1" hidden="1"/>
    <row r="241" s="1" customFormat="1" hidden="1"/>
    <row r="242" s="1" customFormat="1" hidden="1"/>
    <row r="243" s="1" customFormat="1" hidden="1"/>
    <row r="244" s="1" customFormat="1" hidden="1"/>
    <row r="245" s="1" customFormat="1" hidden="1"/>
    <row r="246" s="1" customFormat="1" hidden="1"/>
    <row r="247" s="1" customFormat="1" hidden="1"/>
    <row r="248" s="1" customFormat="1" hidden="1"/>
    <row r="249" s="1" customFormat="1" hidden="1"/>
    <row r="250" s="1" customFormat="1" hidden="1"/>
    <row r="251" s="1" customFormat="1" hidden="1"/>
    <row r="252" s="1" customFormat="1" hidden="1"/>
    <row r="253" s="1" customFormat="1" hidden="1"/>
    <row r="254" s="1" customFormat="1" hidden="1"/>
    <row r="255" s="1" customFormat="1" hidden="1"/>
    <row r="256" s="1" customFormat="1" hidden="1"/>
    <row r="257" s="1" customFormat="1" hidden="1"/>
    <row r="258" s="1" customFormat="1" hidden="1"/>
    <row r="259" s="1" customFormat="1" hidden="1"/>
    <row r="260" s="1" customFormat="1" hidden="1"/>
    <row r="261" s="1" customFormat="1" hidden="1"/>
    <row r="262" s="1" customFormat="1" hidden="1"/>
    <row r="263" s="1" customFormat="1" hidden="1"/>
    <row r="264" s="1" customFormat="1" hidden="1"/>
    <row r="265" s="1" customFormat="1" hidden="1"/>
    <row r="266" s="1" customFormat="1" hidden="1"/>
    <row r="267" s="1" customFormat="1" hidden="1"/>
    <row r="268" s="1" customFormat="1" hidden="1"/>
    <row r="269" s="1" customFormat="1" hidden="1"/>
    <row r="270" s="1" customFormat="1" hidden="1"/>
    <row r="271" s="1" customFormat="1" hidden="1"/>
    <row r="272" s="1" customFormat="1" hidden="1"/>
    <row r="273" spans="5:5" s="1" customFormat="1" hidden="1"/>
    <row r="274" spans="5:5" s="1" customFormat="1" hidden="1"/>
    <row r="275" spans="5:5" s="1" customFormat="1" hidden="1"/>
    <row r="276" spans="5:5" s="1" customFormat="1" hidden="1"/>
    <row r="277" spans="5:5" s="1" customFormat="1" hidden="1"/>
    <row r="278" spans="5:5" s="1" customFormat="1" hidden="1"/>
    <row r="279" spans="5:5" s="1" customFormat="1"/>
    <row r="280" spans="5:5" s="1" customFormat="1"/>
    <row r="281" spans="5:5" s="1" customFormat="1"/>
    <row r="282" spans="5:5" s="1" customFormat="1"/>
    <row r="283" spans="5:5" s="1" customFormat="1"/>
    <row r="284" spans="5:5" s="1" customFormat="1"/>
    <row r="285" spans="5:5">
      <c r="E285" s="1"/>
    </row>
    <row r="286" spans="5:5">
      <c r="E286" s="1"/>
    </row>
  </sheetData>
  <mergeCells count="4">
    <mergeCell ref="A3:K3"/>
    <mergeCell ref="A4:K4"/>
    <mergeCell ref="D8:F8"/>
    <mergeCell ref="I8:J8"/>
  </mergeCells>
  <phoneticPr fontId="4" type="noConversion"/>
  <printOptions horizontalCentered="1"/>
  <pageMargins left="0.25" right="0.25" top="0.26" bottom="0.25" header="0.5" footer="0.5"/>
  <pageSetup scale="90" orientation="portrait" horizont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222"/>
  <sheetViews>
    <sheetView zoomScaleNormal="100" workbookViewId="0">
      <selection activeCell="A41" sqref="A41"/>
    </sheetView>
  </sheetViews>
  <sheetFormatPr defaultColWidth="9.140625" defaultRowHeight="12.75"/>
  <cols>
    <col min="1" max="1" width="9.140625" style="1" customWidth="1"/>
    <col min="2" max="2" width="9.28515625" style="1" customWidth="1"/>
    <col min="3" max="3" width="8.85546875" style="1" customWidth="1"/>
    <col min="4" max="4" width="3.5703125" style="1" customWidth="1"/>
    <col min="5" max="5" width="16.5703125" style="1" customWidth="1"/>
    <col min="6" max="6" width="3" style="1" customWidth="1"/>
    <col min="7" max="7" width="17.28515625" style="1" customWidth="1"/>
    <col min="8" max="8" width="24.5703125" style="1" bestFit="1" customWidth="1"/>
    <col min="9" max="9" width="5.7109375" style="1" customWidth="1"/>
    <col min="10" max="16384" width="9.140625" style="1"/>
  </cols>
  <sheetData>
    <row r="1" spans="1:10" ht="18">
      <c r="A1" s="530" t="s">
        <v>0</v>
      </c>
      <c r="B1" s="530"/>
      <c r="C1" s="530"/>
      <c r="D1" s="530"/>
      <c r="E1" s="530"/>
      <c r="F1" s="530"/>
      <c r="G1" s="530"/>
      <c r="H1" s="530"/>
      <c r="I1" s="530"/>
    </row>
    <row r="2" spans="1:10" ht="20.25">
      <c r="A2" s="531" t="s">
        <v>1</v>
      </c>
      <c r="B2" s="531"/>
      <c r="C2" s="531"/>
      <c r="D2" s="531"/>
      <c r="E2" s="531"/>
      <c r="F2" s="531"/>
      <c r="G2" s="531"/>
      <c r="H2" s="531"/>
      <c r="I2" s="531"/>
    </row>
    <row r="3" spans="1:10" ht="26.25" customHeight="1">
      <c r="G3" s="12"/>
    </row>
    <row r="4" spans="1:10" ht="14.25">
      <c r="A4" s="2"/>
      <c r="B4" s="2"/>
      <c r="C4" s="2"/>
      <c r="D4" s="2"/>
      <c r="E4" s="2"/>
      <c r="F4" s="2"/>
      <c r="G4" s="2"/>
      <c r="H4" s="2"/>
      <c r="I4" s="2"/>
    </row>
    <row r="5" spans="1:10" ht="15.75">
      <c r="A5" s="9" t="s">
        <v>22</v>
      </c>
      <c r="B5" s="13" t="s">
        <v>24</v>
      </c>
      <c r="C5" s="14"/>
      <c r="D5" s="14"/>
      <c r="E5" s="15"/>
      <c r="F5" s="7"/>
      <c r="G5" s="11" t="s">
        <v>21</v>
      </c>
      <c r="H5" s="14" t="s">
        <v>11</v>
      </c>
      <c r="I5" s="20"/>
      <c r="J5" s="2"/>
    </row>
    <row r="6" spans="1:10" ht="15.75">
      <c r="A6" s="10" t="s">
        <v>23</v>
      </c>
      <c r="B6" s="16">
        <v>3341</v>
      </c>
      <c r="C6" s="17"/>
      <c r="D6" s="18"/>
      <c r="E6" s="19"/>
      <c r="F6" s="5"/>
      <c r="G6" s="9" t="s">
        <v>2</v>
      </c>
      <c r="H6" s="29">
        <v>38556</v>
      </c>
      <c r="I6" s="14"/>
      <c r="J6" s="2"/>
    </row>
    <row r="7" spans="1:10" ht="21" customHeight="1" thickBot="1">
      <c r="A7" s="3"/>
      <c r="B7" s="3"/>
      <c r="C7" s="3"/>
      <c r="D7" s="3"/>
      <c r="E7" s="3"/>
      <c r="F7" s="3"/>
      <c r="G7" s="3"/>
      <c r="H7" s="3"/>
      <c r="I7" s="3"/>
      <c r="J7" s="2"/>
    </row>
    <row r="8" spans="1:10" ht="15" thickTop="1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4.25">
      <c r="A9" s="499" t="s">
        <v>3</v>
      </c>
      <c r="B9" s="499"/>
      <c r="C9" s="2"/>
      <c r="D9" s="2"/>
      <c r="E9" s="4" t="s">
        <v>9</v>
      </c>
      <c r="F9" s="4"/>
      <c r="G9" s="2"/>
      <c r="H9" s="4" t="s">
        <v>10</v>
      </c>
      <c r="I9" s="2"/>
      <c r="J9" s="2"/>
    </row>
    <row r="10" spans="1:10" ht="9" customHeight="1">
      <c r="A10" s="2"/>
      <c r="B10" s="2"/>
      <c r="C10" s="2"/>
      <c r="D10" s="2"/>
      <c r="E10" s="2"/>
      <c r="F10" s="2"/>
      <c r="G10" s="2"/>
      <c r="H10" s="33"/>
      <c r="I10" s="2"/>
      <c r="J10" s="2"/>
    </row>
    <row r="11" spans="1:10" ht="16.5" customHeight="1">
      <c r="A11" s="5" t="s">
        <v>4</v>
      </c>
      <c r="B11" s="5"/>
      <c r="C11" s="22">
        <v>2436</v>
      </c>
      <c r="D11" s="22" t="s">
        <v>18</v>
      </c>
      <c r="E11" s="35" t="s">
        <v>19</v>
      </c>
      <c r="F11" s="43"/>
      <c r="G11" s="2"/>
      <c r="H11" s="30">
        <f>C11*40</f>
        <v>97440</v>
      </c>
      <c r="I11" s="2"/>
      <c r="J11" s="2"/>
    </row>
    <row r="12" spans="1:10" ht="16.5" customHeight="1">
      <c r="A12" s="5" t="s">
        <v>4</v>
      </c>
      <c r="B12" s="5"/>
      <c r="C12" s="22">
        <v>121</v>
      </c>
      <c r="D12" s="22" t="s">
        <v>18</v>
      </c>
      <c r="E12" s="36" t="s">
        <v>43</v>
      </c>
      <c r="F12" s="8"/>
      <c r="G12" s="2"/>
      <c r="H12" s="30">
        <f>C12*40</f>
        <v>4840</v>
      </c>
      <c r="I12" s="2"/>
      <c r="J12" s="2"/>
    </row>
    <row r="13" spans="1:10" ht="16.5" customHeight="1">
      <c r="A13" s="5" t="s">
        <v>4</v>
      </c>
      <c r="B13" s="5"/>
      <c r="C13" s="22"/>
      <c r="D13" s="22" t="s">
        <v>18</v>
      </c>
      <c r="E13" s="23" t="s">
        <v>20</v>
      </c>
      <c r="F13" s="8"/>
      <c r="G13" s="2"/>
      <c r="H13" s="30">
        <f>C13*40</f>
        <v>0</v>
      </c>
      <c r="I13" s="2"/>
      <c r="J13" s="2"/>
    </row>
    <row r="14" spans="1:10" ht="16.5" customHeight="1">
      <c r="A14" s="5" t="s">
        <v>4</v>
      </c>
      <c r="B14" s="5"/>
      <c r="C14" s="22">
        <v>0</v>
      </c>
      <c r="D14" s="22" t="s">
        <v>18</v>
      </c>
      <c r="E14" s="23" t="s">
        <v>36</v>
      </c>
      <c r="F14" s="8"/>
      <c r="G14" s="2"/>
      <c r="H14" s="30">
        <f>C14*40</f>
        <v>0</v>
      </c>
      <c r="I14" s="2"/>
      <c r="J14" s="2"/>
    </row>
    <row r="15" spans="1:10" ht="16.5" customHeight="1">
      <c r="A15" s="5" t="s">
        <v>4</v>
      </c>
      <c r="B15" s="5"/>
      <c r="C15" s="22">
        <v>120</v>
      </c>
      <c r="D15" s="22" t="s">
        <v>18</v>
      </c>
      <c r="E15" s="23" t="s">
        <v>48</v>
      </c>
      <c r="F15" s="2"/>
      <c r="G15" s="2"/>
      <c r="H15" s="30">
        <f>C15*40</f>
        <v>4800</v>
      </c>
      <c r="I15" s="2"/>
      <c r="J15" s="2"/>
    </row>
    <row r="16" spans="1:10" ht="16.5" customHeight="1">
      <c r="A16" s="5" t="s">
        <v>4</v>
      </c>
      <c r="B16" s="5"/>
      <c r="C16" s="22"/>
      <c r="D16" s="22"/>
      <c r="E16" s="23"/>
      <c r="F16" s="2"/>
      <c r="G16" s="2"/>
      <c r="H16" s="30"/>
      <c r="I16" s="2"/>
      <c r="J16" s="2"/>
    </row>
    <row r="17" spans="1:10" ht="16.5" customHeight="1">
      <c r="A17" s="5" t="s">
        <v>32</v>
      </c>
      <c r="B17" s="5"/>
      <c r="C17" s="22"/>
      <c r="D17" s="22" t="s">
        <v>18</v>
      </c>
      <c r="E17" s="23" t="s">
        <v>31</v>
      </c>
      <c r="F17" s="2"/>
      <c r="G17" s="2"/>
      <c r="H17" s="30">
        <f>C17*33</f>
        <v>0</v>
      </c>
      <c r="I17" s="2"/>
      <c r="J17" s="2"/>
    </row>
    <row r="18" spans="1:10" ht="16.5" customHeight="1">
      <c r="A18" s="5" t="s">
        <v>16</v>
      </c>
      <c r="B18" s="5"/>
      <c r="C18" s="22"/>
      <c r="D18" s="22" t="s">
        <v>18</v>
      </c>
      <c r="E18" s="23" t="s">
        <v>35</v>
      </c>
      <c r="F18" s="2"/>
      <c r="G18" s="2"/>
      <c r="H18" s="30">
        <f>33*C18</f>
        <v>0</v>
      </c>
      <c r="I18" s="2"/>
      <c r="J18" s="2"/>
    </row>
    <row r="19" spans="1:10" ht="16.5" customHeight="1">
      <c r="A19" s="5" t="s">
        <v>16</v>
      </c>
      <c r="B19" s="5"/>
      <c r="C19" s="22"/>
      <c r="D19" s="22" t="s">
        <v>18</v>
      </c>
      <c r="E19" s="23" t="s">
        <v>30</v>
      </c>
      <c r="F19" s="2"/>
      <c r="G19" s="2"/>
      <c r="H19" s="30">
        <f>33*C19</f>
        <v>0</v>
      </c>
      <c r="I19" s="2"/>
      <c r="J19" s="2"/>
    </row>
    <row r="20" spans="1:10" ht="16.5" customHeight="1">
      <c r="A20" s="5" t="s">
        <v>15</v>
      </c>
      <c r="B20" s="5"/>
      <c r="C20" s="22"/>
      <c r="D20" s="22" t="s">
        <v>18</v>
      </c>
      <c r="E20" s="23"/>
      <c r="F20" s="2"/>
      <c r="G20" s="2"/>
      <c r="H20" s="30">
        <f>35*C20</f>
        <v>0</v>
      </c>
      <c r="I20" s="2"/>
      <c r="J20" s="2"/>
    </row>
    <row r="21" spans="1:10" ht="16.5" customHeight="1">
      <c r="A21" s="5" t="s">
        <v>17</v>
      </c>
      <c r="B21" s="5"/>
      <c r="C21" s="22"/>
      <c r="D21" s="22" t="s">
        <v>18</v>
      </c>
      <c r="E21" s="35" t="s">
        <v>39</v>
      </c>
      <c r="F21" s="37"/>
      <c r="H21" s="30">
        <f>C21*40</f>
        <v>0</v>
      </c>
      <c r="I21" s="2"/>
      <c r="J21" s="2"/>
    </row>
    <row r="22" spans="1:10" ht="16.5" customHeight="1">
      <c r="A22" s="5" t="s">
        <v>17</v>
      </c>
      <c r="B22" s="5"/>
      <c r="C22" s="22"/>
      <c r="D22" s="22"/>
      <c r="E22" s="26"/>
      <c r="F22" s="2"/>
      <c r="H22" s="30">
        <f>40*C22</f>
        <v>0</v>
      </c>
      <c r="I22" s="2"/>
      <c r="J22" s="2"/>
    </row>
    <row r="23" spans="1:10" ht="16.5" customHeight="1">
      <c r="A23" s="5" t="s">
        <v>17</v>
      </c>
      <c r="B23" s="5"/>
      <c r="C23" s="22"/>
      <c r="D23" s="22"/>
      <c r="E23" s="26"/>
      <c r="F23" s="2"/>
      <c r="H23" s="30">
        <f>40*C23</f>
        <v>0</v>
      </c>
      <c r="I23" s="2"/>
      <c r="J23" s="2"/>
    </row>
    <row r="24" spans="1:10" ht="16.5" customHeight="1">
      <c r="A24" s="5" t="s">
        <v>17</v>
      </c>
      <c r="B24" s="5"/>
      <c r="C24" s="22"/>
      <c r="D24" s="22"/>
      <c r="E24" s="23" t="s">
        <v>33</v>
      </c>
      <c r="F24" s="2"/>
      <c r="G24" s="2"/>
      <c r="H24" s="30">
        <f>1250+600</f>
        <v>1850</v>
      </c>
      <c r="I24" s="2"/>
      <c r="J24" s="2"/>
    </row>
    <row r="25" spans="1:10" ht="16.5" customHeight="1">
      <c r="A25" s="5" t="s">
        <v>41</v>
      </c>
      <c r="B25" s="5"/>
      <c r="C25" s="22"/>
      <c r="D25" s="22"/>
      <c r="E25" s="38"/>
      <c r="F25" s="2"/>
      <c r="G25" s="2"/>
      <c r="H25" s="30">
        <f>C25*40</f>
        <v>0</v>
      </c>
      <c r="I25" s="2"/>
      <c r="J25" s="2"/>
    </row>
    <row r="26" spans="1:10" ht="16.5" customHeight="1">
      <c r="A26" s="5" t="s">
        <v>41</v>
      </c>
      <c r="B26" s="5"/>
      <c r="C26" s="22"/>
      <c r="D26" s="22"/>
      <c r="E26" s="38">
        <v>3.25</v>
      </c>
      <c r="F26" s="2"/>
      <c r="G26" s="2"/>
      <c r="H26" s="30">
        <f>C26*40</f>
        <v>0</v>
      </c>
      <c r="I26" s="2"/>
      <c r="J26" s="2"/>
    </row>
    <row r="27" spans="1:10" ht="16.5" customHeight="1">
      <c r="A27" s="5" t="s">
        <v>5</v>
      </c>
      <c r="B27" s="5"/>
      <c r="C27" s="22"/>
      <c r="D27" s="22" t="s">
        <v>18</v>
      </c>
      <c r="E27" s="23" t="s">
        <v>38</v>
      </c>
      <c r="F27" s="2"/>
      <c r="G27" s="2"/>
      <c r="H27" s="30">
        <f>C27*40</f>
        <v>0</v>
      </c>
      <c r="I27" s="2"/>
      <c r="J27" s="2"/>
    </row>
    <row r="28" spans="1:10" ht="16.5" customHeight="1">
      <c r="A28" s="5" t="s">
        <v>5</v>
      </c>
      <c r="B28" s="5"/>
      <c r="C28" s="22"/>
      <c r="D28" s="22" t="s">
        <v>18</v>
      </c>
      <c r="E28" s="23" t="s">
        <v>40</v>
      </c>
      <c r="F28" s="2"/>
      <c r="G28" s="2"/>
      <c r="H28" s="30">
        <f>C28*40</f>
        <v>0</v>
      </c>
      <c r="I28" s="2"/>
      <c r="J28" s="2"/>
    </row>
    <row r="29" spans="1:10" ht="16.5" customHeight="1">
      <c r="A29" s="5" t="s">
        <v>14</v>
      </c>
      <c r="B29" s="5"/>
      <c r="C29" s="22"/>
      <c r="D29" s="22" t="s">
        <v>18</v>
      </c>
      <c r="E29" s="23" t="s">
        <v>26</v>
      </c>
      <c r="F29" s="2"/>
      <c r="G29" s="2"/>
      <c r="H29" s="30">
        <f>C29*20</f>
        <v>0</v>
      </c>
      <c r="I29" s="2"/>
      <c r="J29" s="2"/>
    </row>
    <row r="30" spans="1:10" ht="16.5" customHeight="1">
      <c r="A30" s="5" t="s">
        <v>14</v>
      </c>
      <c r="B30" s="5"/>
      <c r="C30" s="22"/>
      <c r="D30" s="22" t="s">
        <v>18</v>
      </c>
      <c r="E30" s="23" t="s">
        <v>27</v>
      </c>
      <c r="F30" s="2"/>
      <c r="G30" s="2"/>
      <c r="H30" s="30">
        <f>C30*20</f>
        <v>0</v>
      </c>
      <c r="I30" s="2"/>
      <c r="J30" s="2"/>
    </row>
    <row r="31" spans="1:10" ht="16.5" customHeight="1">
      <c r="A31" s="5" t="s">
        <v>6</v>
      </c>
      <c r="B31" s="5"/>
      <c r="C31" s="22"/>
      <c r="D31" s="22"/>
      <c r="E31" s="23"/>
      <c r="F31" s="2"/>
      <c r="G31" s="2"/>
      <c r="H31" s="30"/>
      <c r="I31" s="2"/>
      <c r="J31" s="2"/>
    </row>
    <row r="32" spans="1:10" ht="16.5" customHeight="1">
      <c r="A32" s="5" t="s">
        <v>12</v>
      </c>
      <c r="B32" s="5"/>
      <c r="C32" s="22"/>
      <c r="D32" s="22"/>
      <c r="E32" s="21"/>
      <c r="F32" s="2"/>
      <c r="G32" s="2"/>
      <c r="H32" s="30"/>
      <c r="I32" s="2"/>
      <c r="J32" s="28"/>
    </row>
    <row r="33" spans="1:10" ht="16.5" customHeight="1">
      <c r="A33" s="5" t="s">
        <v>13</v>
      </c>
      <c r="B33" s="5"/>
      <c r="C33" s="22"/>
      <c r="D33" s="22"/>
      <c r="E33" s="21"/>
      <c r="F33" s="2"/>
      <c r="G33" s="2"/>
      <c r="H33" s="30"/>
      <c r="I33" s="2"/>
      <c r="J33" s="2"/>
    </row>
    <row r="34" spans="1:10" ht="16.5" customHeight="1">
      <c r="A34" s="5" t="s">
        <v>25</v>
      </c>
      <c r="B34" s="5"/>
      <c r="C34" s="22"/>
      <c r="D34" s="22"/>
      <c r="E34" s="42"/>
      <c r="F34" s="8"/>
      <c r="G34" s="2"/>
      <c r="H34" s="30">
        <v>52000</v>
      </c>
      <c r="I34" s="2"/>
      <c r="J34" s="2"/>
    </row>
    <row r="35" spans="1:10" ht="16.5" customHeight="1" thickBot="1">
      <c r="A35" s="5" t="s">
        <v>28</v>
      </c>
      <c r="B35" s="5"/>
      <c r="C35" s="22"/>
      <c r="D35" s="22"/>
      <c r="E35" s="21"/>
      <c r="F35" s="2"/>
      <c r="G35" s="2"/>
      <c r="H35" s="31"/>
      <c r="I35" s="2"/>
      <c r="J35" s="2"/>
    </row>
    <row r="36" spans="1:10" ht="16.5" customHeight="1" thickBot="1">
      <c r="A36" s="5" t="s">
        <v>7</v>
      </c>
      <c r="B36" s="5"/>
      <c r="C36" s="22"/>
      <c r="D36" s="22"/>
      <c r="E36" s="24"/>
      <c r="F36" s="2"/>
      <c r="G36" s="44" t="s">
        <v>42</v>
      </c>
      <c r="H36" s="32" t="s">
        <v>44</v>
      </c>
      <c r="I36" s="2"/>
      <c r="J36" s="2"/>
    </row>
    <row r="37" spans="1:10" ht="15">
      <c r="A37" s="5"/>
      <c r="B37" s="5"/>
      <c r="C37" s="2"/>
      <c r="D37" s="2"/>
      <c r="E37" s="2"/>
      <c r="F37" s="2"/>
      <c r="G37" s="2"/>
      <c r="H37" s="25"/>
      <c r="I37" s="2"/>
      <c r="J37" s="2"/>
    </row>
    <row r="38" spans="1:10" ht="15.75" thickBot="1">
      <c r="A38" s="6"/>
      <c r="B38" s="6"/>
      <c r="C38" s="3"/>
      <c r="D38" s="3"/>
      <c r="E38" s="3"/>
      <c r="F38" s="3"/>
      <c r="G38" s="3"/>
      <c r="H38" s="39"/>
      <c r="I38" s="3"/>
      <c r="J38" s="2"/>
    </row>
    <row r="39" spans="1:10" ht="15.75" thickTop="1">
      <c r="A39" s="5"/>
      <c r="B39" s="5"/>
      <c r="C39" s="2"/>
      <c r="D39" s="2"/>
      <c r="E39" s="2"/>
      <c r="F39" s="2"/>
      <c r="G39" s="2"/>
      <c r="H39" s="2"/>
      <c r="I39" s="2"/>
      <c r="J39" s="2"/>
    </row>
    <row r="40" spans="1:10" ht="16.5" customHeight="1">
      <c r="A40" s="5" t="s">
        <v>8</v>
      </c>
      <c r="B40" s="5"/>
      <c r="C40" s="21" t="s">
        <v>45</v>
      </c>
      <c r="D40" s="21"/>
      <c r="E40" s="21"/>
      <c r="F40" s="21"/>
      <c r="G40" s="21"/>
      <c r="H40" s="21"/>
      <c r="I40" s="21"/>
      <c r="J40" s="2"/>
    </row>
    <row r="41" spans="1:10" ht="20.25" customHeight="1">
      <c r="A41" s="21" t="s">
        <v>46</v>
      </c>
      <c r="B41" s="21"/>
      <c r="C41" s="21"/>
      <c r="D41" s="21"/>
      <c r="E41" s="21"/>
      <c r="F41" s="21"/>
      <c r="G41" s="21"/>
      <c r="H41" s="21"/>
      <c r="I41" s="21"/>
      <c r="J41" s="2"/>
    </row>
    <row r="42" spans="1:10" ht="20.25" customHeight="1">
      <c r="A42" s="21"/>
      <c r="B42" s="21"/>
      <c r="C42" s="21"/>
      <c r="D42" s="21"/>
      <c r="E42" s="21"/>
      <c r="F42" s="21"/>
      <c r="G42" s="21"/>
      <c r="H42" s="21"/>
      <c r="I42" s="21"/>
      <c r="J42" s="2"/>
    </row>
    <row r="43" spans="1:10" ht="20.25" customHeight="1">
      <c r="A43" s="24"/>
      <c r="B43" s="24"/>
      <c r="C43" s="24"/>
      <c r="D43" s="24"/>
      <c r="E43" s="24"/>
      <c r="F43" s="24"/>
      <c r="G43" s="24"/>
      <c r="H43" s="24"/>
      <c r="I43" s="24"/>
      <c r="J43" s="2"/>
    </row>
    <row r="44" spans="1:10" ht="20.25" customHeight="1">
      <c r="A44" s="22"/>
      <c r="B44" s="22"/>
      <c r="C44" s="22"/>
      <c r="D44" s="22"/>
      <c r="E44" s="22"/>
      <c r="F44" s="22"/>
      <c r="G44" s="22"/>
      <c r="H44" s="22"/>
      <c r="I44" s="22"/>
      <c r="J44" s="2"/>
    </row>
    <row r="45" spans="1:10" ht="20.2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20.2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20.25" customHeight="1">
      <c r="A47"/>
      <c r="B47"/>
      <c r="C47"/>
      <c r="D47"/>
      <c r="E47"/>
      <c r="F47"/>
      <c r="G47"/>
      <c r="H47"/>
      <c r="I47"/>
      <c r="J47"/>
    </row>
    <row r="48" spans="1:10" ht="16.5" customHeight="1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 ht="14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14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14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14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14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4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4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4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4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4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4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4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4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4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4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4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4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4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4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4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4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4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4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4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4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4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4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4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4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4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4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4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4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4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4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4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4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4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4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4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4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4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4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4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4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4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4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4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4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4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4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4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4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4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4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4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4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4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4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4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4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4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4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4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4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4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4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4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4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4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4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4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4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4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4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4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4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4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4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4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4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4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4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4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4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4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4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4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4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4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4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4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4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4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4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4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4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4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4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4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4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4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4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4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4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4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4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4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4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4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4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4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4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4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4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4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4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4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4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4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4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4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4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4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4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4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4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4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4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4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4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4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4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4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4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4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4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4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4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4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4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4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4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4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4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4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4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4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4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4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4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4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4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4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4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4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4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4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4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4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4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4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4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4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4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4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4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4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4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4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4.25">
      <c r="A222" s="2"/>
      <c r="B222" s="2"/>
      <c r="C222" s="2"/>
      <c r="D222" s="2"/>
      <c r="E222" s="2"/>
      <c r="F222" s="2"/>
      <c r="G222" s="2"/>
      <c r="H222" s="2"/>
      <c r="I222" s="2"/>
      <c r="J222" s="2"/>
    </row>
  </sheetData>
  <sheetProtection selectLockedCells="1"/>
  <mergeCells count="3">
    <mergeCell ref="A1:I1"/>
    <mergeCell ref="A2:I2"/>
    <mergeCell ref="A9:B9"/>
  </mergeCells>
  <phoneticPr fontId="4" type="noConversion"/>
  <printOptions horizontalCentered="1"/>
  <pageMargins left="0.5" right="0.5" top="0.5" bottom="0.25" header="0.5" footer="0.5"/>
  <pageSetup scale="9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SHEET 1</vt:lpstr>
      <vt:lpstr>mack mar 30</vt:lpstr>
      <vt:lpstr>CONNORS</vt:lpstr>
      <vt:lpstr>ESTIMATE</vt:lpstr>
      <vt:lpstr>BLANK</vt:lpstr>
      <vt:lpstr>MACK</vt:lpstr>
      <vt:lpstr>COUNT COMPARISON</vt:lpstr>
      <vt:lpstr>HERRING</vt:lpstr>
      <vt:lpstr>PRODUCTION REPORT</vt:lpstr>
      <vt:lpstr>SEALIFE II</vt:lpstr>
      <vt:lpstr>LADY JANICE</vt:lpstr>
      <vt:lpstr>CONNORS!Print_Area</vt:lpstr>
      <vt:lpstr>HERRING!Print_Area</vt:lpstr>
      <vt:lpstr>MACK!Print_Area</vt:lpstr>
      <vt:lpstr>'SEALIFE II'!Print_Area</vt:lpstr>
    </vt:vector>
  </TitlesOfParts>
  <Company>Sea Life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Stoddard</dc:creator>
  <cp:lastModifiedBy>Belliveau, Valerie</cp:lastModifiedBy>
  <cp:lastPrinted>2023-09-29T11:55:03Z</cp:lastPrinted>
  <dcterms:created xsi:type="dcterms:W3CDTF">2003-06-12T14:41:21Z</dcterms:created>
  <dcterms:modified xsi:type="dcterms:W3CDTF">2023-09-29T11:55:13Z</dcterms:modified>
</cp:coreProperties>
</file>